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HELOIZA\publicar PROPP indicadores\"/>
    </mc:Choice>
  </mc:AlternateContent>
  <xr:revisionPtr revIDLastSave="0" documentId="13_ncr:1_{6079F69B-979A-415C-9BF8-D53C78DEC916}" xr6:coauthVersionLast="45" xr6:coauthVersionMax="45" xr10:uidLastSave="{00000000-0000-0000-0000-000000000000}"/>
  <bookViews>
    <workbookView xWindow="-120" yWindow="-120" windowWidth="20730" windowHeight="11160" tabRatio="876" xr2:uid="{00000000-000D-0000-FFFF-FFFF00000000}"/>
  </bookViews>
  <sheets>
    <sheet name="capa" sheetId="1" r:id="rId1"/>
    <sheet name="Proj em execução e finalizados" sheetId="2" r:id="rId2"/>
    <sheet name="Proj Rede Cooper Finan externo" sheetId="3" r:id="rId3"/>
    <sheet name="projetos cancelados" sheetId="4" r:id="rId4"/>
    <sheet name=" Resumo projetos" sheetId="5" r:id="rId5"/>
    <sheet name="recursos projetos individuais" sheetId="6" r:id="rId6"/>
    <sheet name="grupos de pesquisa" sheetId="7" r:id="rId7"/>
    <sheet name="bolsista produtividade" sheetId="8" r:id="rId8"/>
    <sheet name="envolvimento" sheetId="9" r:id="rId9"/>
    <sheet name="interdisciplinaridade" sheetId="10" r:id="rId10"/>
    <sheet name="Bolsas IC" sheetId="11" r:id="rId11"/>
    <sheet name="Sem bolsa" sheetId="12" r:id="rId12"/>
    <sheet name="Resumo IC" sheetId="13" r:id="rId1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13" l="1"/>
  <c r="F18" i="13"/>
  <c r="E18" i="13"/>
  <c r="D18" i="13"/>
  <c r="F35" i="9"/>
  <c r="E35" i="9"/>
  <c r="D35" i="9"/>
  <c r="C35" i="9"/>
  <c r="F34" i="9"/>
  <c r="E34" i="9"/>
  <c r="D34" i="9"/>
  <c r="C34" i="9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F29" i="9"/>
  <c r="E29" i="9"/>
  <c r="D29" i="9"/>
  <c r="C29" i="9"/>
  <c r="F28" i="9"/>
  <c r="E28" i="9"/>
  <c r="D28" i="9"/>
  <c r="C28" i="9"/>
  <c r="F27" i="9"/>
  <c r="E27" i="9"/>
  <c r="D27" i="9"/>
  <c r="C27" i="9"/>
  <c r="F26" i="9"/>
  <c r="E26" i="9"/>
  <c r="D26" i="9"/>
  <c r="C26" i="9"/>
  <c r="F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F36" i="9" s="1"/>
  <c r="E21" i="9"/>
  <c r="E36" i="9" s="1"/>
  <c r="D21" i="9"/>
  <c r="D36" i="9" s="1"/>
  <c r="C21" i="9"/>
  <c r="C36" i="9" s="1"/>
  <c r="E24" i="8"/>
  <c r="D24" i="8"/>
  <c r="C24" i="8"/>
  <c r="F23" i="7"/>
  <c r="E23" i="7"/>
  <c r="D23" i="7"/>
  <c r="C23" i="7"/>
  <c r="F47" i="6"/>
  <c r="E47" i="6"/>
  <c r="D47" i="6"/>
  <c r="C47" i="6"/>
  <c r="E31" i="6"/>
  <c r="D31" i="6"/>
  <c r="C31" i="6"/>
  <c r="F46" i="4"/>
  <c r="E46" i="4"/>
  <c r="D46" i="4"/>
  <c r="C46" i="4"/>
  <c r="F31" i="4"/>
  <c r="E31" i="4"/>
  <c r="D31" i="4"/>
  <c r="C31" i="4"/>
  <c r="N50" i="3"/>
  <c r="L50" i="3"/>
  <c r="K50" i="3"/>
  <c r="J50" i="3"/>
  <c r="I50" i="3"/>
  <c r="H50" i="3"/>
  <c r="F50" i="3"/>
  <c r="E50" i="3"/>
  <c r="D50" i="3"/>
  <c r="C50" i="3"/>
  <c r="N33" i="3"/>
  <c r="L33" i="3"/>
  <c r="K33" i="3"/>
  <c r="I33" i="3"/>
  <c r="H33" i="3"/>
  <c r="F33" i="3"/>
  <c r="E33" i="3"/>
  <c r="D33" i="3"/>
  <c r="C33" i="3"/>
  <c r="H127" i="2"/>
  <c r="G127" i="2"/>
  <c r="F127" i="2"/>
  <c r="E127" i="2"/>
  <c r="J49" i="2"/>
  <c r="I49" i="2"/>
  <c r="H49" i="2"/>
  <c r="G49" i="2"/>
  <c r="F49" i="2"/>
  <c r="E49" i="2"/>
  <c r="D49" i="2"/>
  <c r="C49" i="2"/>
  <c r="J33" i="2"/>
  <c r="I33" i="2"/>
  <c r="H33" i="2"/>
  <c r="G33" i="2"/>
  <c r="F33" i="2"/>
  <c r="E33" i="2"/>
  <c r="D33" i="2"/>
  <c r="C33" i="2"/>
</calcChain>
</file>

<file path=xl/sharedStrings.xml><?xml version="1.0" encoding="utf-8"?>
<sst xmlns="http://schemas.openxmlformats.org/spreadsheetml/2006/main" count="1012" uniqueCount="221">
  <si>
    <t xml:space="preserve">Indicadores da Pró-reitoria de Pesquisa, Pós-graduação e Inovação </t>
  </si>
  <si>
    <t>Projetos de pesquisa em execução e finalizados</t>
  </si>
  <si>
    <t xml:space="preserve">Gráficos </t>
  </si>
  <si>
    <t>Página Inicial</t>
  </si>
  <si>
    <r>
      <rPr>
        <b/>
        <sz val="12"/>
        <color rgb="FF000000"/>
        <rFont val="Times New Roman"/>
        <family val="1"/>
        <charset val="1"/>
      </rPr>
      <t>Objetivo:</t>
    </r>
    <r>
      <rPr>
        <sz val="12"/>
        <color rgb="FF000000"/>
        <rFont val="Times New Roman"/>
        <family val="1"/>
        <charset val="1"/>
      </rPr>
      <t xml:space="preserve"> Informar o número de Projetos de Pesquisa em execução e finalizados. </t>
    </r>
  </si>
  <si>
    <t xml:space="preserve">Quadro - Quantidade de projetos de pesquisa em execução e finalizados - por Unidade Universitária </t>
  </si>
  <si>
    <t>Unidades Universitárias</t>
  </si>
  <si>
    <t>Ano*</t>
  </si>
  <si>
    <t>2020**</t>
  </si>
  <si>
    <t>Em execução</t>
  </si>
  <si>
    <t>Finalizados</t>
  </si>
  <si>
    <t>1 semestre em execução</t>
  </si>
  <si>
    <t>2 semestre em execução</t>
  </si>
  <si>
    <t>Amambai</t>
  </si>
  <si>
    <t>Aquidauana</t>
  </si>
  <si>
    <t>Campo Grande</t>
  </si>
  <si>
    <t>Cassilândia</t>
  </si>
  <si>
    <t>Coxim</t>
  </si>
  <si>
    <t>-</t>
  </si>
  <si>
    <t>Dourados</t>
  </si>
  <si>
    <t>Glória de Dourados</t>
  </si>
  <si>
    <t>Ivinhema</t>
  </si>
  <si>
    <t xml:space="preserve">Jardim </t>
  </si>
  <si>
    <t>Maracaju</t>
  </si>
  <si>
    <t>Mundo Novo</t>
  </si>
  <si>
    <t>Naviraí</t>
  </si>
  <si>
    <t>Nova Andradina</t>
  </si>
  <si>
    <t>Paranaíba</t>
  </si>
  <si>
    <t>Ponta Porã</t>
  </si>
  <si>
    <t>Total</t>
  </si>
  <si>
    <t xml:space="preserve">Quadro - Quantidade de projetos de pesquisa em execução e finalizados - por Área de conhecimento </t>
  </si>
  <si>
    <t>Áreas de Conhecimento</t>
  </si>
  <si>
    <t>Ciências Exatas e da Terra</t>
  </si>
  <si>
    <t xml:space="preserve">Ciências Biológicas </t>
  </si>
  <si>
    <t>Engenharias</t>
  </si>
  <si>
    <t>Ciências da Saúde</t>
  </si>
  <si>
    <t>Ciências Agrárias</t>
  </si>
  <si>
    <t>Ciências Sociais Aplicadas</t>
  </si>
  <si>
    <t>Ciências Humanas</t>
  </si>
  <si>
    <t>Linguística, Letras e Artes</t>
  </si>
  <si>
    <t xml:space="preserve">*Refere-se ao ano de execução ou finalização dos projetos cadastrados na Divisão de Pesquisa </t>
  </si>
  <si>
    <t xml:space="preserve">** A partir de 2020 adota-se um novo layout para a tabela, Projetos em Execução são informados conforme o semestre em vigência. </t>
  </si>
  <si>
    <t xml:space="preserve">Quadro - Quantidade de projetos de pesquisa em execução e finalizados - por Unidade Universitária e Curso </t>
  </si>
  <si>
    <t xml:space="preserve">Unidade Universitária </t>
  </si>
  <si>
    <t>Graduação</t>
  </si>
  <si>
    <t>Ciências Sociais</t>
  </si>
  <si>
    <t>História</t>
  </si>
  <si>
    <t>Agronomia</t>
  </si>
  <si>
    <t>Engenharia Florestal</t>
  </si>
  <si>
    <t>Zootecnia</t>
  </si>
  <si>
    <t>NUCABE - Núcleo de Pesquisa e Pós-Graduação em Ciências Agrárias, Biológicas e Exatas</t>
  </si>
  <si>
    <t xml:space="preserve">Campo Grande
</t>
  </si>
  <si>
    <t>Artes Cênicas</t>
  </si>
  <si>
    <t>Geografia Bacharel</t>
  </si>
  <si>
    <t>Geografia Licenciatura</t>
  </si>
  <si>
    <t>Letras Bacharel</t>
  </si>
  <si>
    <t>Letras Port./Inglês</t>
  </si>
  <si>
    <t>Letras Port./Esp.</t>
  </si>
  <si>
    <t>Medicina</t>
  </si>
  <si>
    <t>Pedagogia</t>
  </si>
  <si>
    <t>Turismo</t>
  </si>
  <si>
    <t>Mestrado Letras</t>
  </si>
  <si>
    <t xml:space="preserve">Letras </t>
  </si>
  <si>
    <t>Matemática</t>
  </si>
  <si>
    <t>Ciências Biológicas</t>
  </si>
  <si>
    <t>Gestão Ambiental</t>
  </si>
  <si>
    <t>Ciências da Computação</t>
  </si>
  <si>
    <t>Ciências Biológicas Bacharel</t>
  </si>
  <si>
    <t>Ciências Biológicas Licenc.</t>
  </si>
  <si>
    <t>Direito</t>
  </si>
  <si>
    <t>Enfermagem</t>
  </si>
  <si>
    <t>Engenharia Ambiental</t>
  </si>
  <si>
    <t>Engenharia Física</t>
  </si>
  <si>
    <t>Física</t>
  </si>
  <si>
    <t>Letras  Port./ Espanhol</t>
  </si>
  <si>
    <t>Educação Científica Matemática</t>
  </si>
  <si>
    <t>Química</t>
  </si>
  <si>
    <t>Química Industrial</t>
  </si>
  <si>
    <t>Sistema De Informação</t>
  </si>
  <si>
    <t>Administração Pública A Distância</t>
  </si>
  <si>
    <t>CEPEMAT – Centro e Pesquisas em Materias</t>
  </si>
  <si>
    <t>CERNA - Centro de Estudos em Recursos Naturais</t>
  </si>
  <si>
    <t>PGRN - Programa de Pós Graduação em Recursos Naturais</t>
  </si>
  <si>
    <t>Produção Sucroalcooleira</t>
  </si>
  <si>
    <t>Tecnologia em Agroecologia</t>
  </si>
  <si>
    <t>Jardim</t>
  </si>
  <si>
    <t>Administração</t>
  </si>
  <si>
    <t>Tecnologia Gestão Ambiental</t>
  </si>
  <si>
    <t>Engenharia De Alimentos</t>
  </si>
  <si>
    <t>Computação</t>
  </si>
  <si>
    <t>Ciências Sociais Bacharel.</t>
  </si>
  <si>
    <t>Ciências Sociais Licenciatura</t>
  </si>
  <si>
    <t xml:space="preserve">Núcleo de Pesq e Pós-Grad. em Ciências Sociais e Humanas </t>
  </si>
  <si>
    <t>Administração de Empresas</t>
  </si>
  <si>
    <t>Ciências Contábeis</t>
  </si>
  <si>
    <t>Ciências Econômica</t>
  </si>
  <si>
    <t>Mestrado em Desenvolvimento Regional e de Sistemas Produtivos</t>
  </si>
  <si>
    <t xml:space="preserve">** A partir de 2020 adotou-se um novo layout para a tabela, Projetos em Execução são informados conforme o semestre em vigência. </t>
  </si>
  <si>
    <t>Detalhamento por tipo de projetos de pesquisa</t>
  </si>
  <si>
    <r>
      <rPr>
        <b/>
        <sz val="12"/>
        <color rgb="FF000000"/>
        <rFont val="Times New Roman"/>
        <family val="1"/>
        <charset val="1"/>
      </rPr>
      <t>Objetivo:</t>
    </r>
    <r>
      <rPr>
        <sz val="12"/>
        <color rgb="FF000000"/>
        <rFont val="Times New Roman"/>
        <family val="1"/>
        <charset val="1"/>
      </rPr>
      <t xml:space="preserve"> Medir a capacidade da UEMS realizar pesquisas por meio de  projetos em rede, com cooperação internacional e financiamento externo</t>
    </r>
  </si>
  <si>
    <t>Quadro - Quantidade de projetos de pesquisa: em rede com participação da UEMS, com cooperação internacional e com financiamento externo  - por Unidade Universitária</t>
  </si>
  <si>
    <t>Ano de cadastro*</t>
  </si>
  <si>
    <t>Em Rede</t>
  </si>
  <si>
    <t>Cooperação internacional</t>
  </si>
  <si>
    <t>Financiamento externo</t>
  </si>
  <si>
    <t>2**</t>
  </si>
  <si>
    <t xml:space="preserve">*Refere-se ao ano de cadastramento do projeto na Divisão de Pesquisa </t>
  </si>
  <si>
    <r>
      <rPr>
        <sz val="12"/>
        <rFont val="Times New Roman"/>
        <family val="1"/>
        <charset val="1"/>
      </rPr>
      <t xml:space="preserve">**Parceria com SRUC </t>
    </r>
    <r>
      <rPr>
        <b/>
        <sz val="12"/>
        <rFont val="Times New Roman"/>
        <family val="1"/>
        <charset val="1"/>
      </rPr>
      <t xml:space="preserve">- </t>
    </r>
    <r>
      <rPr>
        <sz val="12"/>
        <color rgb="FF000000"/>
        <rFont val="Times New Roman"/>
        <family val="1"/>
        <charset val="1"/>
      </rPr>
      <t>Scotland's Rural College</t>
    </r>
  </si>
  <si>
    <t xml:space="preserve">Quadro - Quantidade de projetos de pesquisa: em rede com participação da UEMS,  com cooperação internacional e com financiamento externo - por área de conhecimento </t>
  </si>
  <si>
    <t xml:space="preserve">Projetos de pesquisa cancelados </t>
  </si>
  <si>
    <r>
      <rPr>
        <b/>
        <sz val="12"/>
        <color rgb="FF000000"/>
        <rFont val="Times New Roman"/>
        <family val="1"/>
        <charset val="1"/>
      </rPr>
      <t>Objetivo:</t>
    </r>
    <r>
      <rPr>
        <sz val="12"/>
        <color rgb="FF000000"/>
        <rFont val="Times New Roman"/>
        <family val="1"/>
        <charset val="1"/>
      </rPr>
      <t xml:space="preserve"> Informar a quantidade de Projetos de Pesquisa cancelados na Instituição</t>
    </r>
  </si>
  <si>
    <t>Quadro - Quantidade de projetos de pesquisa cancelados - por Unidade Universitária</t>
  </si>
  <si>
    <t xml:space="preserve">Ano de cancelamento </t>
  </si>
  <si>
    <t xml:space="preserve">Dourados </t>
  </si>
  <si>
    <t>OBS: Em decorrência da alteração em Resolução, a partir de 2019, o ato de cancelamento não é mais permitido.</t>
  </si>
  <si>
    <t xml:space="preserve">Resumo dos dados sobre projetos de pesquisa </t>
  </si>
  <si>
    <t xml:space="preserve">Quadro - Histórico referente a projetos de pesquisa </t>
  </si>
  <si>
    <t xml:space="preserve">Categoria </t>
  </si>
  <si>
    <t>Projetos sem financiamento</t>
  </si>
  <si>
    <t>Projetos em rede</t>
  </si>
  <si>
    <t xml:space="preserve">Projetos com cooperação internacional </t>
  </si>
  <si>
    <t>Projetos com financiamento</t>
  </si>
  <si>
    <t>Volume de recursos financeiros captados por projetos de pesquisa individuais</t>
  </si>
  <si>
    <r>
      <rPr>
        <b/>
        <sz val="12"/>
        <color rgb="FF000000"/>
        <rFont val="Times New Roman"/>
        <family val="1"/>
        <charset val="1"/>
      </rPr>
      <t>Objetivo:</t>
    </r>
    <r>
      <rPr>
        <sz val="12"/>
        <color rgb="FF000000"/>
        <rFont val="Times New Roman"/>
        <family val="1"/>
        <charset val="1"/>
      </rPr>
      <t xml:space="preserve"> Informar o volume de recursos financeiros captados por projetos de pesquisa individuais na instituição</t>
    </r>
  </si>
  <si>
    <t>Quadro - Recursos financeiros referentes a projetos individuais - por Unidade Universitária</t>
  </si>
  <si>
    <t>Ano de cadastro</t>
  </si>
  <si>
    <t>Quadro - Recursos financeiros referentes a projetos individuais - por área de conhecimento</t>
  </si>
  <si>
    <t xml:space="preserve">Grupos de pesquisa na UEMS </t>
  </si>
  <si>
    <r>
      <rPr>
        <b/>
        <sz val="12"/>
        <color rgb="FF000000"/>
        <rFont val="Times New Roman"/>
        <family val="1"/>
        <charset val="1"/>
      </rPr>
      <t>Objetivo:</t>
    </r>
    <r>
      <rPr>
        <sz val="12"/>
        <color rgb="FF000000"/>
        <rFont val="Times New Roman"/>
        <family val="1"/>
        <charset val="1"/>
      </rPr>
      <t xml:space="preserve"> Indicar a quantidade de grupos de pesquisa cadastrados no diretório do CNPq, por grande área de conhecimento</t>
    </r>
  </si>
  <si>
    <t xml:space="preserve">Quadro - Quantidade de grupos de pesquisa - por área de conhecimento </t>
  </si>
  <si>
    <t>Certificados*</t>
  </si>
  <si>
    <t xml:space="preserve">Em preenchimento </t>
  </si>
  <si>
    <t xml:space="preserve">* certificados com ou sem atualização há mais de 12 meses </t>
  </si>
  <si>
    <t>Bolsistas Produtividade em Pesquisa (PQ)</t>
  </si>
  <si>
    <r>
      <rPr>
        <b/>
        <sz val="12"/>
        <color rgb="FF000000"/>
        <rFont val="Times New Roman"/>
        <family val="1"/>
        <charset val="1"/>
      </rPr>
      <t>Objetivo:</t>
    </r>
    <r>
      <rPr>
        <sz val="12"/>
        <color rgb="FF000000"/>
        <rFont val="Times New Roman"/>
        <family val="1"/>
        <charset val="1"/>
      </rPr>
      <t xml:space="preserve"> Indicar o número de docentes contemplados com bolsa Produtividade em Pesquisa (PQ) do CNPq</t>
    </r>
  </si>
  <si>
    <t xml:space="preserve">Quadro - Quantidade de bolsistas Produtividade em Pesquisa </t>
  </si>
  <si>
    <t>Ano de concessão</t>
  </si>
  <si>
    <t>TOTAL</t>
  </si>
  <si>
    <t>Índice de Participação de Alunos em Atividades de Pesquisa</t>
  </si>
  <si>
    <r>
      <rPr>
        <b/>
        <sz val="12"/>
        <color rgb="FF000000"/>
        <rFont val="Times New Roman"/>
        <family val="1"/>
        <charset val="1"/>
      </rPr>
      <t>Objetivo:</t>
    </r>
    <r>
      <rPr>
        <sz val="12"/>
        <color rgb="FF000000"/>
        <rFont val="Times New Roman"/>
        <family val="1"/>
        <charset val="1"/>
      </rPr>
      <t xml:space="preserve"> Aferir o envolvimento do corpo discente da UEMS em pesquisa.</t>
    </r>
  </si>
  <si>
    <r>
      <rPr>
        <sz val="12"/>
        <color rgb="FF000000"/>
        <rFont val="Times New Roman"/>
        <family val="1"/>
        <charset val="1"/>
      </rPr>
      <t xml:space="preserve">Fórmula de Cálculo: </t>
    </r>
    <r>
      <rPr>
        <i/>
        <sz val="12"/>
        <color rgb="FF000000"/>
        <rFont val="Times New Roman"/>
        <family val="1"/>
        <charset val="1"/>
      </rPr>
      <t>IPAAtPq = TAB/TTAx100</t>
    </r>
  </si>
  <si>
    <r>
      <rPr>
        <b/>
        <sz val="12"/>
        <color rgb="FF000000"/>
        <rFont val="Times New Roman"/>
        <family val="1"/>
        <charset val="1"/>
      </rPr>
      <t xml:space="preserve">TAB = </t>
    </r>
    <r>
      <rPr>
        <sz val="12"/>
        <color rgb="FF000000"/>
        <rFont val="Times New Roman"/>
        <family val="1"/>
        <charset val="1"/>
      </rPr>
      <t xml:space="preserve">n° total de alunos bolsistas ou IC sem bolsa </t>
    </r>
  </si>
  <si>
    <r>
      <rPr>
        <b/>
        <sz val="12"/>
        <color rgb="FF000000"/>
        <rFont val="Times New Roman"/>
        <family val="1"/>
        <charset val="1"/>
      </rPr>
      <t xml:space="preserve">TTA = </t>
    </r>
    <r>
      <rPr>
        <sz val="12"/>
        <color rgb="FF000000"/>
        <rFont val="Times New Roman"/>
        <family val="1"/>
        <charset val="1"/>
      </rPr>
      <t>nº total de aluno matriculados na Unidade Universitária</t>
    </r>
  </si>
  <si>
    <t xml:space="preserve">Quadro - Indice de envolvimento dos alunos com atividades de pesquisa </t>
  </si>
  <si>
    <t>2016 (%)</t>
  </si>
  <si>
    <t>2017 (%)</t>
  </si>
  <si>
    <t>2018(%)</t>
  </si>
  <si>
    <t>2019*(%)</t>
  </si>
  <si>
    <t>*considerando o número de matriculados até 03/04/2019</t>
  </si>
  <si>
    <t>Grau de interdisciplinaridade</t>
  </si>
  <si>
    <r>
      <rPr>
        <b/>
        <sz val="12"/>
        <color rgb="FF000000"/>
        <rFont val="Times New Roman"/>
        <family val="1"/>
        <charset val="1"/>
      </rPr>
      <t>Objetivo:</t>
    </r>
    <r>
      <rPr>
        <sz val="12"/>
        <color rgb="FF000000"/>
        <rFont val="Times New Roman"/>
        <family val="1"/>
        <charset val="1"/>
      </rPr>
      <t xml:space="preserve"> Aferir o grau de interdisciplinaridade dos projetos de pesquisa</t>
    </r>
  </si>
  <si>
    <t>Aguardando relatório do Stela Experta</t>
  </si>
  <si>
    <r>
      <rPr>
        <sz val="12"/>
        <color rgb="FF000000"/>
        <rFont val="Times New Roman"/>
        <family val="1"/>
        <charset val="1"/>
      </rPr>
      <t xml:space="preserve">Fórmula de Cálculo: </t>
    </r>
    <r>
      <rPr>
        <i/>
        <sz val="12"/>
        <color rgb="FF000000"/>
        <rFont val="Times New Roman"/>
        <family val="1"/>
        <charset val="1"/>
      </rPr>
      <t>GIPppq = TPI/TPPx100</t>
    </r>
  </si>
  <si>
    <r>
      <rPr>
        <b/>
        <sz val="12"/>
        <color rgb="FF000000"/>
        <rFont val="Times New Roman"/>
        <family val="1"/>
        <charset val="1"/>
      </rPr>
      <t>TPI</t>
    </r>
    <r>
      <rPr>
        <sz val="12"/>
        <color rgb="FF000000"/>
        <rFont val="Times New Roman"/>
        <family val="1"/>
        <charset val="1"/>
      </rPr>
      <t xml:space="preserve"> = nº total de projetos de pesquisa interdisciplinares</t>
    </r>
  </si>
  <si>
    <r>
      <rPr>
        <b/>
        <sz val="12"/>
        <color rgb="FF000000"/>
        <rFont val="Times New Roman"/>
        <family val="1"/>
        <charset val="1"/>
      </rPr>
      <t>TPP</t>
    </r>
    <r>
      <rPr>
        <sz val="12"/>
        <color rgb="FF000000"/>
        <rFont val="Times New Roman"/>
        <family val="1"/>
        <charset val="1"/>
      </rPr>
      <t xml:space="preserve"> = nº total de projetos de pesquisa</t>
    </r>
  </si>
  <si>
    <t xml:space="preserve">Quadro - Grau de interdisciplinaridade dos projetos de pesquisa </t>
  </si>
  <si>
    <t xml:space="preserve">Histórico do quantitativo de bolsas disponibilizadas aos alunos </t>
  </si>
  <si>
    <t xml:space="preserve">Resumo </t>
  </si>
  <si>
    <r>
      <rPr>
        <b/>
        <sz val="12"/>
        <color rgb="FF000000"/>
        <rFont val="Times New Roman"/>
        <family val="1"/>
        <charset val="1"/>
      </rPr>
      <t>Objetivo:</t>
    </r>
    <r>
      <rPr>
        <sz val="12"/>
        <color rgb="FF000000"/>
        <rFont val="Times New Roman"/>
        <family val="1"/>
        <charset val="1"/>
      </rPr>
      <t xml:space="preserve"> Indicar o percentual de alunos bolsistas por unidade e por área</t>
    </r>
  </si>
  <si>
    <r>
      <rPr>
        <b/>
        <sz val="10"/>
        <color rgb="FF000000"/>
        <rFont val="Arial"/>
        <family val="2"/>
        <charset val="1"/>
      </rPr>
      <t xml:space="preserve">Objetivo: </t>
    </r>
    <r>
      <rPr>
        <sz val="10"/>
        <color rgb="FF000000"/>
        <rFont val="Arial"/>
        <family val="2"/>
        <charset val="1"/>
      </rPr>
      <t>Informar o número de alunos bolsistas, na Graduação, envolvidos com atividades de Pesquisa</t>
    </r>
  </si>
  <si>
    <r>
      <rPr>
        <b/>
        <sz val="12"/>
        <color rgb="FF000000"/>
        <rFont val="Times New Roman"/>
        <family val="1"/>
        <charset val="1"/>
      </rPr>
      <t xml:space="preserve">Objetivo: </t>
    </r>
    <r>
      <rPr>
        <sz val="12"/>
        <color rgb="FF000000"/>
        <rFont val="Times New Roman"/>
        <family val="1"/>
        <charset val="1"/>
      </rPr>
      <t>Informar o número de alunos da graduação bolsistas</t>
    </r>
  </si>
  <si>
    <r>
      <rPr>
        <b/>
        <sz val="12"/>
        <color rgb="FF000000"/>
        <rFont val="Times New Roman"/>
        <family val="1"/>
        <charset val="1"/>
      </rPr>
      <t>Fórmula de Cálculo: Pbu</t>
    </r>
    <r>
      <rPr>
        <b/>
        <i/>
        <sz val="12"/>
        <color rgb="FF000000"/>
        <rFont val="Times New Roman"/>
        <family val="1"/>
        <charset val="1"/>
      </rPr>
      <t>= NBU/NTB *100</t>
    </r>
  </si>
  <si>
    <t>Número absoluto</t>
  </si>
  <si>
    <t>NBU: Número de bolsas por unidade</t>
  </si>
  <si>
    <r>
      <rPr>
        <b/>
        <sz val="10"/>
        <color rgb="FF000000"/>
        <rFont val="Arial"/>
        <family val="2"/>
        <charset val="1"/>
      </rPr>
      <t xml:space="preserve">* </t>
    </r>
    <r>
      <rPr>
        <sz val="10"/>
        <color rgb="FF000000"/>
        <rFont val="Arial"/>
        <family val="2"/>
        <charset val="1"/>
      </rPr>
      <t>Período compreendido da bolsa: 1 de agosto a 31 julho do ano posterior</t>
    </r>
  </si>
  <si>
    <t>NTB: número total de bolsistas</t>
  </si>
  <si>
    <t xml:space="preserve">Quadro - Quantitativo de bolsas de IC disponibilizadas aos alunos de graduação - por Unidade Universitária </t>
  </si>
  <si>
    <t xml:space="preserve">Quadro - Proporção de bolsistas em relação ao total de alunos da Unidade Universitária </t>
  </si>
  <si>
    <t>Unidade Universitária</t>
  </si>
  <si>
    <t>2017/18</t>
  </si>
  <si>
    <t xml:space="preserve">ago/2018 a jul/19 </t>
  </si>
  <si>
    <t xml:space="preserve">ago/2019 a jul//20 </t>
  </si>
  <si>
    <t>2017/18*</t>
  </si>
  <si>
    <t>Curso/Graduação</t>
  </si>
  <si>
    <t>Aprovadas</t>
  </si>
  <si>
    <t>Canceladas</t>
  </si>
  <si>
    <t>AMAMBAI</t>
  </si>
  <si>
    <t>AQUIDAUANA</t>
  </si>
  <si>
    <t xml:space="preserve">CAMPO GRANDE
</t>
  </si>
  <si>
    <t>CASSILÂNDIA</t>
  </si>
  <si>
    <r>
      <rPr>
        <b/>
        <sz val="12"/>
        <color rgb="FF000000"/>
        <rFont val="Times New Roman"/>
        <family val="1"/>
        <charset val="1"/>
      </rPr>
      <t xml:space="preserve">* </t>
    </r>
    <r>
      <rPr>
        <sz val="12"/>
        <color rgb="FF000000"/>
        <rFont val="Times New Roman"/>
        <family val="1"/>
        <charset val="1"/>
      </rPr>
      <t>Período compreendido da bolsa: 1 de agosto a 31 julho do ano posterior</t>
    </r>
  </si>
  <si>
    <t>COXIM</t>
  </si>
  <si>
    <t>DOURADOS</t>
  </si>
  <si>
    <t>Ciências Biológicas Bacharelado</t>
  </si>
  <si>
    <t xml:space="preserve">Quadro - Quantitativo de bolsas de IC disponibilizadas aos alunos de graduação - por área do conhecimento </t>
  </si>
  <si>
    <t>Ciências Biológicas Licenciatura</t>
  </si>
  <si>
    <t>Áreas de conhecimento</t>
  </si>
  <si>
    <t>Engenharia Ambiental e Sanitária</t>
  </si>
  <si>
    <t>Ciências Sociais e Aplicadas</t>
  </si>
  <si>
    <t>Química Licenciatura</t>
  </si>
  <si>
    <t>Sistema de Informação</t>
  </si>
  <si>
    <t>GLÓRIA DE DOURADOS</t>
  </si>
  <si>
    <t>IVINHEMA</t>
  </si>
  <si>
    <t>JARDIM</t>
  </si>
  <si>
    <t>MARACAJU</t>
  </si>
  <si>
    <t>MUNDO NOVO</t>
  </si>
  <si>
    <t>NAVIRAÍ</t>
  </si>
  <si>
    <t>NOVA ANDRADINA</t>
  </si>
  <si>
    <t>PARANAÍBA</t>
  </si>
  <si>
    <t>PONTA PORÃ</t>
  </si>
  <si>
    <t xml:space="preserve">Histórico do quantitativo de IC sem bolsa </t>
  </si>
  <si>
    <t>Objetivo: Informar o número de alunos na Graduação envolvidos com atividades de Pesquisa (IC sem bolsa)</t>
  </si>
  <si>
    <t xml:space="preserve">Quadro - Quantitativo de alunos que participam da Modalidade IC sem bolsa - por Unidade Universitária </t>
  </si>
  <si>
    <t>Execução</t>
  </si>
  <si>
    <t>Cancelados</t>
  </si>
  <si>
    <t xml:space="preserve">Total </t>
  </si>
  <si>
    <t>Quadro - Quantitativo de alunos que participam da Modalidade IC sem bolsa - por área de conhecimento</t>
  </si>
  <si>
    <t>2018 IC SEM BOLSA</t>
  </si>
  <si>
    <t>2019 IC SEM BOLSA</t>
  </si>
  <si>
    <t>Finalizado</t>
  </si>
  <si>
    <t xml:space="preserve">Resumo dos dados sobre bolsas de Iniciação Científica </t>
  </si>
  <si>
    <t xml:space="preserve">Quadro - Histórico do número de bolsas de Iniciação Científica  - por modalidade </t>
  </si>
  <si>
    <t>Modalidade/Fonte</t>
  </si>
  <si>
    <t>2016/2017</t>
  </si>
  <si>
    <t>2017/2018</t>
  </si>
  <si>
    <t>2018/2019</t>
  </si>
  <si>
    <t>2019/2020</t>
  </si>
  <si>
    <t>PIBIC CNPq</t>
  </si>
  <si>
    <t>PIBIC UEMS</t>
  </si>
  <si>
    <t>PIBITI CNPq</t>
  </si>
  <si>
    <t>PIBIC AAF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</si>
</sst>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R$-416]\ #,##0.00;[Red]\-[$R$-416]\ #,##0.00"/>
    <numFmt numFmtId="165" formatCode="* #,##0.00\ ;* \(#,##0.00\);* \-#\ ;@\ "/>
    <numFmt numFmtId="166" formatCode="* #,##0.00\ ;\-* #,##0.00\ ;* \-#\ ;@\ "/>
    <numFmt numFmtId="167" formatCode="0.0"/>
  </numFmts>
  <fonts count="63">
    <font>
      <sz val="11"/>
      <color rgb="FF000000"/>
      <name val="Calibri"/>
      <family val="2"/>
      <charset val="1"/>
    </font>
    <font>
      <sz val="10"/>
      <color rgb="FFFFFFFF"/>
      <name val="Arial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Arial"/>
      <family val="2"/>
      <charset val="1"/>
    </font>
    <font>
      <sz val="10"/>
      <color rgb="FF800000"/>
      <name val="Arial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Arial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Arial"/>
      <family val="2"/>
      <charset val="1"/>
    </font>
    <font>
      <sz val="10"/>
      <color rgb="FF008000"/>
      <name val="Arial"/>
      <family val="2"/>
      <charset val="1"/>
    </font>
    <font>
      <sz val="10"/>
      <color rgb="FF006600"/>
      <name val="Calibri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9966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333333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8000"/>
      <name val="Calibri"/>
      <family val="2"/>
      <charset val="1"/>
    </font>
    <font>
      <b/>
      <sz val="14"/>
      <color rgb="FFFFFFFF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3"/>
      <color rgb="FFFFFFFF"/>
      <name val="Times New Roman"/>
      <family val="1"/>
      <charset val="1"/>
    </font>
    <font>
      <u/>
      <sz val="11"/>
      <color rgb="FF0563C1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3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color rgb="FF0070C0"/>
      <name val="Tmes"/>
      <charset val="1"/>
    </font>
    <font>
      <sz val="10"/>
      <color rgb="FF003300"/>
      <name val="Times New Roman"/>
      <family val="1"/>
      <charset val="1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Arial"/>
      <family val="2"/>
      <charset val="1"/>
    </font>
    <font>
      <b/>
      <sz val="12"/>
      <color rgb="FFFFFFFF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sz val="10"/>
      <color rgb="FF000000"/>
      <name val="Tims"/>
      <charset val="1"/>
    </font>
    <font>
      <b/>
      <sz val="10"/>
      <color rgb="FF000000"/>
      <name val="Tims"/>
      <charset val="1"/>
    </font>
    <font>
      <sz val="12"/>
      <color rgb="FFFF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9"/>
      <color rgb="FF000000"/>
      <name val="Arial"/>
      <family val="2"/>
      <charset val="1"/>
    </font>
    <font>
      <b/>
      <sz val="10"/>
      <name val="Arial"/>
      <family val="2"/>
      <charset val="1"/>
    </font>
    <font>
      <sz val="9"/>
      <color rgb="FF000000"/>
      <name val="Times New Roman"/>
      <family val="1"/>
      <charset val="1"/>
    </font>
    <font>
      <b/>
      <sz val="12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CCCCCC"/>
      </patternFill>
    </fill>
    <fill>
      <patternFill patternType="solid">
        <fgColor rgb="FFCCCCFF"/>
        <bgColor rgb="FFCCCCCC"/>
      </patternFill>
    </fill>
    <fill>
      <patternFill patternType="solid">
        <fgColor rgb="FFFFCCCC"/>
        <bgColor rgb="FFFFCC99"/>
      </patternFill>
    </fill>
    <fill>
      <patternFill patternType="solid">
        <fgColor rgb="FFFFCC99"/>
        <bgColor rgb="FFFFCCCC"/>
      </patternFill>
    </fill>
    <fill>
      <patternFill patternType="solid">
        <fgColor rgb="FFCC0000"/>
        <bgColor rgb="FFFF0000"/>
      </patternFill>
    </fill>
    <fill>
      <patternFill patternType="solid">
        <fgColor rgb="FF800000"/>
        <bgColor rgb="FF660066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2F5597"/>
        <bgColor rgb="FF0563C1"/>
      </patternFill>
    </fill>
    <fill>
      <patternFill patternType="solid">
        <fgColor rgb="FF80A000"/>
        <bgColor rgb="FF579D1C"/>
      </patternFill>
    </fill>
    <fill>
      <patternFill patternType="solid">
        <fgColor rgb="FFFFFFFF"/>
        <bgColor rgb="FFFFFFCC"/>
      </patternFill>
    </fill>
    <fill>
      <patternFill patternType="solid">
        <fgColor rgb="FF0070C0"/>
        <bgColor rgb="FF0563C1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5">
    <xf numFmtId="0" fontId="0" fillId="0" borderId="0"/>
    <xf numFmtId="166" fontId="62" fillId="0" borderId="0" applyBorder="0" applyProtection="0"/>
    <xf numFmtId="0" fontId="36" fillId="0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2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2" fillId="3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4" borderId="0" applyBorder="0" applyProtection="0"/>
    <xf numFmtId="0" fontId="4" fillId="4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5" fillId="6" borderId="0" applyBorder="0" applyProtection="0"/>
    <xf numFmtId="0" fontId="6" fillId="7" borderId="0" applyBorder="0" applyProtection="0"/>
    <xf numFmtId="0" fontId="7" fillId="6" borderId="0" applyBorder="0" applyProtection="0"/>
    <xf numFmtId="0" fontId="5" fillId="6" borderId="0" applyBorder="0" applyProtection="0"/>
    <xf numFmtId="0" fontId="8" fillId="8" borderId="0" applyBorder="0" applyProtection="0"/>
    <xf numFmtId="0" fontId="8" fillId="9" borderId="0" applyBorder="0" applyProtection="0"/>
    <xf numFmtId="0" fontId="8" fillId="8" borderId="0" applyBorder="0" applyProtection="0"/>
    <xf numFmtId="0" fontId="9" fillId="8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1" fillId="0" borderId="0" applyBorder="0" applyProtection="0"/>
    <xf numFmtId="0" fontId="12" fillId="10" borderId="0" applyBorder="0" applyProtection="0"/>
    <xf numFmtId="0" fontId="13" fillId="10" borderId="0" applyBorder="0" applyProtection="0"/>
    <xf numFmtId="0" fontId="12" fillId="10" borderId="0" applyBorder="0" applyProtection="0"/>
    <xf numFmtId="0" fontId="14" fillId="10" borderId="0" applyBorder="0" applyProtection="0"/>
    <xf numFmtId="0" fontId="15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7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19" fillId="0" borderId="0" applyBorder="0" applyProtection="0"/>
    <xf numFmtId="0" fontId="15" fillId="0" borderId="0" applyBorder="0" applyProtection="0"/>
    <xf numFmtId="0" fontId="15" fillId="0" borderId="0" applyBorder="0" applyProtection="0"/>
    <xf numFmtId="0" fontId="20" fillId="0" borderId="0" applyBorder="0" applyProtection="0">
      <alignment horizontal="center" textRotation="90"/>
    </xf>
    <xf numFmtId="0" fontId="21" fillId="0" borderId="0" applyBorder="0" applyProtection="0"/>
    <xf numFmtId="0" fontId="22" fillId="0" borderId="0" applyBorder="0" applyProtection="0"/>
    <xf numFmtId="0" fontId="23" fillId="11" borderId="0" applyBorder="0" applyProtection="0"/>
    <xf numFmtId="0" fontId="24" fillId="11" borderId="0" applyBorder="0" applyProtection="0"/>
    <xf numFmtId="0" fontId="23" fillId="11" borderId="0" applyBorder="0" applyProtection="0"/>
    <xf numFmtId="0" fontId="25" fillId="11" borderId="0" applyBorder="0" applyProtection="0"/>
    <xf numFmtId="0" fontId="26" fillId="0" borderId="0"/>
    <xf numFmtId="0" fontId="27" fillId="0" borderId="0"/>
    <xf numFmtId="0" fontId="62" fillId="0" borderId="0"/>
    <xf numFmtId="0" fontId="28" fillId="11" borderId="1" applyProtection="0"/>
    <xf numFmtId="0" fontId="28" fillId="11" borderId="1" applyProtection="0"/>
    <xf numFmtId="0" fontId="28" fillId="11" borderId="1" applyProtection="0"/>
    <xf numFmtId="0" fontId="29" fillId="11" borderId="1" applyProtection="0"/>
    <xf numFmtId="0" fontId="30" fillId="0" borderId="0" applyBorder="0" applyProtection="0"/>
    <xf numFmtId="164" fontId="30" fillId="0" borderId="0" applyBorder="0" applyProtection="0"/>
    <xf numFmtId="0" fontId="31" fillId="0" borderId="0" applyBorder="0" applyProtection="0"/>
    <xf numFmtId="0" fontId="27" fillId="0" borderId="0" applyBorder="0" applyProtection="0"/>
    <xf numFmtId="0" fontId="62" fillId="0" borderId="0" applyBorder="0" applyProtection="0"/>
    <xf numFmtId="0" fontId="62" fillId="0" borderId="0" applyBorder="0" applyProtection="0"/>
    <xf numFmtId="0" fontId="31" fillId="0" borderId="0" applyBorder="0" applyProtection="0"/>
    <xf numFmtId="0" fontId="27" fillId="0" borderId="0" applyBorder="0" applyProtection="0"/>
    <xf numFmtId="0" fontId="62" fillId="0" borderId="0" applyBorder="0" applyProtection="0"/>
    <xf numFmtId="0" fontId="62" fillId="0" borderId="0" applyBorder="0" applyProtection="0"/>
    <xf numFmtId="165" fontId="27" fillId="0" borderId="0" applyBorder="0" applyProtection="0"/>
    <xf numFmtId="0" fontId="5" fillId="0" borderId="0" applyBorder="0" applyProtection="0"/>
    <xf numFmtId="0" fontId="6" fillId="0" borderId="0" applyBorder="0" applyProtection="0"/>
    <xf numFmtId="0" fontId="5" fillId="0" borderId="0" applyBorder="0" applyProtection="0"/>
    <xf numFmtId="0" fontId="7" fillId="0" borderId="0" applyBorder="0" applyProtection="0"/>
  </cellStyleXfs>
  <cellXfs count="420">
    <xf numFmtId="0" fontId="0" fillId="0" borderId="0" xfId="0"/>
    <xf numFmtId="0" fontId="42" fillId="0" borderId="5" xfId="0" applyFont="1" applyBorder="1" applyAlignment="1">
      <alignment horizontal="center" vertical="top" wrapText="1"/>
    </xf>
    <xf numFmtId="0" fontId="42" fillId="14" borderId="5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wrapText="1"/>
    </xf>
    <xf numFmtId="0" fontId="43" fillId="14" borderId="5" xfId="0" applyFont="1" applyFill="1" applyBorder="1" applyAlignment="1">
      <alignment horizontal="center" vertical="center"/>
    </xf>
    <xf numFmtId="0" fontId="42" fillId="14" borderId="5" xfId="0" applyFont="1" applyFill="1" applyBorder="1" applyAlignment="1">
      <alignment horizontal="center" vertical="center"/>
    </xf>
    <xf numFmtId="0" fontId="42" fillId="14" borderId="4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2" fillId="14" borderId="3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3" fillId="15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12" borderId="0" xfId="0" applyFill="1"/>
    <xf numFmtId="0" fontId="0" fillId="13" borderId="0" xfId="0" applyFill="1"/>
    <xf numFmtId="0" fontId="32" fillId="12" borderId="0" xfId="0" applyFont="1" applyFill="1" applyAlignment="1">
      <alignment horizontal="center"/>
    </xf>
    <xf numFmtId="0" fontId="0" fillId="14" borderId="0" xfId="0" applyFill="1"/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0" fontId="33" fillId="15" borderId="0" xfId="0" applyFont="1" applyFill="1" applyBorder="1" applyAlignment="1"/>
    <xf numFmtId="0" fontId="33" fillId="0" borderId="0" xfId="0" applyFont="1" applyBorder="1" applyAlignment="1"/>
    <xf numFmtId="0" fontId="0" fillId="15" borderId="0" xfId="0" applyFill="1"/>
    <xf numFmtId="0" fontId="34" fillId="15" borderId="0" xfId="0" applyFont="1" applyFill="1"/>
    <xf numFmtId="0" fontId="34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35" fillId="15" borderId="0" xfId="2" applyFont="1" applyFill="1" applyBorder="1" applyAlignment="1" applyProtection="1">
      <alignment horizontal="center"/>
    </xf>
    <xf numFmtId="0" fontId="37" fillId="0" borderId="0" xfId="0" applyFont="1" applyAlignment="1">
      <alignment horizontal="center" vertical="center" wrapText="1"/>
    </xf>
    <xf numFmtId="0" fontId="37" fillId="15" borderId="0" xfId="0" applyFont="1" applyFill="1" applyAlignment="1">
      <alignment horizontal="center" vertical="center" wrapText="1"/>
    </xf>
    <xf numFmtId="0" fontId="35" fillId="15" borderId="0" xfId="0" applyFont="1" applyFill="1" applyAlignment="1">
      <alignment horizontal="center"/>
    </xf>
    <xf numFmtId="0" fontId="35" fillId="15" borderId="0" xfId="0" applyFont="1" applyFill="1" applyAlignment="1"/>
    <xf numFmtId="0" fontId="0" fillId="0" borderId="0" xfId="0"/>
    <xf numFmtId="0" fontId="38" fillId="15" borderId="0" xfId="0" applyFont="1" applyFill="1"/>
    <xf numFmtId="0" fontId="0" fillId="14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7" fillId="14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2" fillId="14" borderId="5" xfId="0" applyFont="1" applyFill="1" applyBorder="1" applyAlignment="1">
      <alignment horizontal="center" vertical="center"/>
    </xf>
    <xf numFmtId="0" fontId="42" fillId="14" borderId="5" xfId="0" applyFont="1" applyFill="1" applyBorder="1" applyAlignment="1">
      <alignment vertical="center"/>
    </xf>
    <xf numFmtId="0" fontId="42" fillId="14" borderId="6" xfId="0" applyFont="1" applyFill="1" applyBorder="1" applyAlignment="1">
      <alignment horizontal="center" vertical="center" wrapText="1"/>
    </xf>
    <xf numFmtId="0" fontId="42" fillId="14" borderId="5" xfId="0" applyFont="1" applyFill="1" applyBorder="1" applyAlignment="1">
      <alignment horizontal="center" vertical="center" wrapText="1"/>
    </xf>
    <xf numFmtId="0" fontId="44" fillId="14" borderId="6" xfId="0" applyFont="1" applyFill="1" applyBorder="1" applyAlignment="1">
      <alignment horizontal="left" vertical="center"/>
    </xf>
    <xf numFmtId="0" fontId="44" fillId="14" borderId="4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5" fillId="14" borderId="4" xfId="0" applyFont="1" applyFill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14" borderId="4" xfId="0" applyFont="1" applyFill="1" applyBorder="1" applyAlignment="1">
      <alignment vertical="center"/>
    </xf>
    <xf numFmtId="0" fontId="46" fillId="14" borderId="7" xfId="0" applyFont="1" applyFill="1" applyBorder="1" applyAlignment="1">
      <alignment horizontal="right"/>
    </xf>
    <xf numFmtId="0" fontId="44" fillId="14" borderId="8" xfId="0" applyFont="1" applyFill="1" applyBorder="1" applyAlignment="1">
      <alignment horizontal="left" vertical="center"/>
    </xf>
    <xf numFmtId="0" fontId="44" fillId="14" borderId="7" xfId="0" applyFont="1" applyFill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5" fillId="14" borderId="7" xfId="0" applyFont="1" applyFill="1" applyBorder="1" applyAlignment="1">
      <alignment horizontal="center" vertical="center"/>
    </xf>
    <xf numFmtId="0" fontId="45" fillId="14" borderId="7" xfId="0" applyFont="1" applyFill="1" applyBorder="1" applyAlignment="1">
      <alignment vertical="center"/>
    </xf>
    <xf numFmtId="0" fontId="0" fillId="0" borderId="7" xfId="0" applyBorder="1"/>
    <xf numFmtId="0" fontId="0" fillId="14" borderId="7" xfId="0" applyFill="1" applyBorder="1"/>
    <xf numFmtId="0" fontId="0" fillId="0" borderId="0" xfId="0" applyAlignment="1">
      <alignment horizontal="left"/>
    </xf>
    <xf numFmtId="0" fontId="0" fillId="14" borderId="7" xfId="0" applyFill="1" applyBorder="1" applyAlignment="1">
      <alignment horizontal="left"/>
    </xf>
    <xf numFmtId="0" fontId="34" fillId="0" borderId="7" xfId="0" applyFont="1" applyBorder="1" applyAlignment="1">
      <alignment horizontal="center" vertical="center"/>
    </xf>
    <xf numFmtId="0" fontId="44" fillId="14" borderId="9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14" borderId="9" xfId="0" applyFont="1" applyFill="1" applyBorder="1" applyAlignment="1">
      <alignment horizontal="center" vertical="center"/>
    </xf>
    <xf numFmtId="0" fontId="45" fillId="14" borderId="9" xfId="0" applyFont="1" applyFill="1" applyBorder="1" applyAlignment="1">
      <alignment vertical="center"/>
    </xf>
    <xf numFmtId="0" fontId="43" fillId="14" borderId="3" xfId="0" applyFont="1" applyFill="1" applyBorder="1" applyAlignment="1">
      <alignment horizontal="left" vertical="center"/>
    </xf>
    <xf numFmtId="0" fontId="43" fillId="14" borderId="5" xfId="0" applyFont="1" applyFill="1" applyBorder="1" applyAlignment="1">
      <alignment horizontal="center" vertical="center"/>
    </xf>
    <xf numFmtId="0" fontId="0" fillId="14" borderId="5" xfId="0" applyFill="1" applyBorder="1"/>
    <xf numFmtId="0" fontId="45" fillId="0" borderId="4" xfId="0" applyFont="1" applyBorder="1" applyAlignment="1">
      <alignment horizontal="center" vertical="center"/>
    </xf>
    <xf numFmtId="0" fontId="44" fillId="14" borderId="4" xfId="0" applyFont="1" applyFill="1" applyBorder="1" applyAlignment="1">
      <alignment vertical="center"/>
    </xf>
    <xf numFmtId="0" fontId="0" fillId="0" borderId="4" xfId="0" applyBorder="1"/>
    <xf numFmtId="0" fontId="44" fillId="0" borderId="8" xfId="0" applyFont="1" applyBorder="1" applyAlignment="1">
      <alignment horizontal="left" vertical="center"/>
    </xf>
    <xf numFmtId="0" fontId="45" fillId="0" borderId="7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0" fillId="0" borderId="9" xfId="0" applyBorder="1"/>
    <xf numFmtId="0" fontId="42" fillId="14" borderId="5" xfId="0" applyFont="1" applyFill="1" applyBorder="1"/>
    <xf numFmtId="0" fontId="42" fillId="14" borderId="5" xfId="0" applyFont="1" applyFill="1" applyBorder="1" applyAlignment="1">
      <alignment horizontal="center"/>
    </xf>
    <xf numFmtId="0" fontId="44" fillId="14" borderId="5" xfId="0" applyFont="1" applyFill="1" applyBorder="1"/>
    <xf numFmtId="0" fontId="0" fillId="0" borderId="5" xfId="0" applyBorder="1"/>
    <xf numFmtId="0" fontId="41" fillId="0" borderId="0" xfId="0" applyFont="1" applyBorder="1" applyAlignment="1">
      <alignment horizontal="left" vertical="center"/>
    </xf>
    <xf numFmtId="0" fontId="40" fillId="0" borderId="0" xfId="0" applyFont="1" applyAlignment="1">
      <alignment wrapText="1"/>
    </xf>
    <xf numFmtId="0" fontId="42" fillId="0" borderId="0" xfId="0" applyFont="1" applyBorder="1" applyAlignment="1">
      <alignment vertical="top" wrapText="1"/>
    </xf>
    <xf numFmtId="0" fontId="42" fillId="14" borderId="0" xfId="0" applyFont="1" applyFill="1" applyBorder="1" applyAlignment="1">
      <alignment vertical="center"/>
    </xf>
    <xf numFmtId="0" fontId="45" fillId="14" borderId="8" xfId="0" applyFont="1" applyFill="1" applyBorder="1" applyAlignment="1">
      <alignment horizontal="center" vertical="center" wrapText="1"/>
    </xf>
    <xf numFmtId="0" fontId="47" fillId="14" borderId="4" xfId="0" applyFont="1" applyFill="1" applyBorder="1" applyAlignment="1">
      <alignment horizontal="center" vertical="center"/>
    </xf>
    <xf numFmtId="0" fontId="44" fillId="14" borderId="0" xfId="0" applyFont="1" applyFill="1" applyBorder="1" applyAlignment="1">
      <alignment horizontal="center" vertical="center"/>
    </xf>
    <xf numFmtId="0" fontId="47" fillId="14" borderId="7" xfId="0" applyFont="1" applyFill="1" applyBorder="1" applyAlignment="1">
      <alignment horizontal="center" vertical="center"/>
    </xf>
    <xf numFmtId="0" fontId="44" fillId="14" borderId="7" xfId="0" applyFont="1" applyFill="1" applyBorder="1" applyAlignment="1">
      <alignment horizontal="center"/>
    </xf>
    <xf numFmtId="0" fontId="47" fillId="14" borderId="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/>
    <xf numFmtId="0" fontId="44" fillId="14" borderId="0" xfId="0" applyFont="1" applyFill="1" applyBorder="1" applyAlignment="1">
      <alignment vertical="center"/>
    </xf>
    <xf numFmtId="0" fontId="44" fillId="0" borderId="7" xfId="0" applyFont="1" applyBorder="1" applyAlignment="1">
      <alignment horizontal="center"/>
    </xf>
    <xf numFmtId="0" fontId="44" fillId="14" borderId="0" xfId="0" applyFont="1" applyFill="1" applyBorder="1"/>
    <xf numFmtId="0" fontId="33" fillId="15" borderId="0" xfId="0" applyFont="1" applyFill="1" applyBorder="1" applyAlignment="1">
      <alignment wrapText="1"/>
    </xf>
    <xf numFmtId="0" fontId="33" fillId="15" borderId="0" xfId="0" applyFont="1" applyFill="1" applyAlignment="1">
      <alignment wrapText="1"/>
    </xf>
    <xf numFmtId="0" fontId="35" fillId="14" borderId="0" xfId="0" applyFont="1" applyFill="1" applyBorder="1" applyAlignment="1"/>
    <xf numFmtId="0" fontId="0" fillId="14" borderId="0" xfId="0" applyFill="1" applyBorder="1"/>
    <xf numFmtId="0" fontId="43" fillId="0" borderId="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/>
    </xf>
    <xf numFmtId="0" fontId="48" fillId="0" borderId="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/>
    </xf>
    <xf numFmtId="0" fontId="48" fillId="0" borderId="7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/>
    </xf>
    <xf numFmtId="0" fontId="48" fillId="0" borderId="8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43" fillId="0" borderId="3" xfId="0" applyFont="1" applyBorder="1" applyAlignment="1">
      <alignment vertical="center"/>
    </xf>
    <xf numFmtId="0" fontId="43" fillId="0" borderId="5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4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/>
    </xf>
    <xf numFmtId="0" fontId="34" fillId="0" borderId="9" xfId="0" applyFont="1" applyBorder="1" applyAlignment="1">
      <alignment horizontal="center" vertical="center"/>
    </xf>
    <xf numFmtId="0" fontId="42" fillId="0" borderId="5" xfId="0" applyFont="1" applyBorder="1" applyAlignment="1">
      <alignment horizontal="left" vertical="center"/>
    </xf>
    <xf numFmtId="0" fontId="42" fillId="0" borderId="5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34" fillId="0" borderId="5" xfId="0" applyFont="1" applyBorder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3" fillId="15" borderId="0" xfId="0" applyFont="1" applyFill="1" applyAlignment="1"/>
    <xf numFmtId="0" fontId="3" fillId="0" borderId="0" xfId="0" applyFont="1" applyAlignment="1">
      <alignment horizontal="left" vertical="center"/>
    </xf>
    <xf numFmtId="0" fontId="42" fillId="0" borderId="5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4" fillId="0" borderId="4" xfId="0" applyFont="1" applyBorder="1" applyAlignment="1">
      <alignment horizontal="left" vertical="center"/>
    </xf>
    <xf numFmtId="0" fontId="44" fillId="0" borderId="7" xfId="0" applyFont="1" applyBorder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3" fillId="0" borderId="3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2" fillId="0" borderId="3" xfId="0" applyFont="1" applyBorder="1"/>
    <xf numFmtId="0" fontId="40" fillId="14" borderId="0" xfId="0" applyFont="1" applyFill="1"/>
    <xf numFmtId="0" fontId="34" fillId="14" borderId="0" xfId="0" applyFont="1" applyFill="1"/>
    <xf numFmtId="0" fontId="42" fillId="14" borderId="3" xfId="0" applyFont="1" applyFill="1" applyBorder="1" applyAlignment="1">
      <alignment horizontal="left" vertical="center"/>
    </xf>
    <xf numFmtId="0" fontId="43" fillId="14" borderId="5" xfId="0" applyFont="1" applyFill="1" applyBorder="1" applyAlignment="1">
      <alignment horizontal="center" vertical="center" wrapText="1"/>
    </xf>
    <xf numFmtId="0" fontId="43" fillId="14" borderId="12" xfId="0" applyFont="1" applyFill="1" applyBorder="1" applyAlignment="1">
      <alignment horizontal="center" vertical="center" wrapText="1"/>
    </xf>
    <xf numFmtId="49" fontId="45" fillId="14" borderId="4" xfId="0" applyNumberFormat="1" applyFont="1" applyFill="1" applyBorder="1" applyAlignment="1">
      <alignment horizontal="left" wrapText="1"/>
    </xf>
    <xf numFmtId="0" fontId="45" fillId="14" borderId="6" xfId="0" applyFont="1" applyFill="1" applyBorder="1" applyAlignment="1">
      <alignment horizontal="center" vertical="center"/>
    </xf>
    <xf numFmtId="0" fontId="45" fillId="14" borderId="15" xfId="0" applyFont="1" applyFill="1" applyBorder="1" applyAlignment="1">
      <alignment horizontal="center" vertical="center"/>
    </xf>
    <xf numFmtId="49" fontId="45" fillId="14" borderId="7" xfId="0" applyNumberFormat="1" applyFont="1" applyFill="1" applyBorder="1" applyAlignment="1">
      <alignment horizontal="left" wrapText="1"/>
    </xf>
    <xf numFmtId="0" fontId="45" fillId="14" borderId="7" xfId="0" applyFont="1" applyFill="1" applyBorder="1" applyAlignment="1">
      <alignment horizontal="center" vertical="center" wrapText="1"/>
    </xf>
    <xf numFmtId="0" fontId="45" fillId="14" borderId="0" xfId="0" applyFont="1" applyFill="1" applyBorder="1" applyAlignment="1">
      <alignment horizontal="center" vertical="center" wrapText="1"/>
    </xf>
    <xf numFmtId="49" fontId="45" fillId="14" borderId="9" xfId="0" applyNumberFormat="1" applyFont="1" applyFill="1" applyBorder="1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2" fillId="0" borderId="9" xfId="0" applyFont="1" applyBorder="1" applyAlignment="1">
      <alignment horizontal="center" vertical="center"/>
    </xf>
    <xf numFmtId="164" fontId="45" fillId="0" borderId="4" xfId="0" applyNumberFormat="1" applyFont="1" applyBorder="1" applyAlignment="1">
      <alignment horizontal="center" vertical="center"/>
    </xf>
    <xf numFmtId="164" fontId="44" fillId="0" borderId="0" xfId="1" applyNumberFormat="1" applyFont="1" applyBorder="1" applyAlignment="1" applyProtection="1">
      <alignment horizontal="center" vertical="center"/>
    </xf>
    <xf numFmtId="0" fontId="45" fillId="0" borderId="13" xfId="0" applyFont="1" applyBorder="1" applyAlignment="1">
      <alignment vertical="center"/>
    </xf>
    <xf numFmtId="164" fontId="44" fillId="0" borderId="7" xfId="1" applyNumberFormat="1" applyFont="1" applyBorder="1" applyAlignment="1" applyProtection="1">
      <alignment horizontal="center"/>
    </xf>
    <xf numFmtId="164" fontId="44" fillId="0" borderId="0" xfId="1" applyNumberFormat="1" applyFont="1" applyBorder="1" applyAlignment="1" applyProtection="1">
      <alignment horizontal="center"/>
    </xf>
    <xf numFmtId="164" fontId="44" fillId="0" borderId="7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164" fontId="45" fillId="0" borderId="7" xfId="0" applyNumberFormat="1" applyFont="1" applyBorder="1" applyAlignment="1">
      <alignment horizontal="center"/>
    </xf>
    <xf numFmtId="164" fontId="44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right"/>
    </xf>
    <xf numFmtId="164" fontId="45" fillId="0" borderId="9" xfId="0" applyNumberFormat="1" applyFont="1" applyBorder="1" applyAlignment="1">
      <alignment horizontal="center"/>
    </xf>
    <xf numFmtId="164" fontId="44" fillId="0" borderId="9" xfId="0" applyNumberFormat="1" applyFont="1" applyBorder="1" applyAlignment="1">
      <alignment horizontal="center"/>
    </xf>
    <xf numFmtId="164" fontId="43" fillId="0" borderId="5" xfId="1" applyNumberFormat="1" applyFont="1" applyBorder="1" applyAlignment="1" applyProtection="1">
      <alignment horizontal="center"/>
    </xf>
    <xf numFmtId="164" fontId="43" fillId="0" borderId="5" xfId="0" applyNumberFormat="1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3" fillId="0" borderId="0" xfId="0" applyFont="1" applyBorder="1" applyAlignment="1">
      <alignment horizontal="left" vertical="center"/>
    </xf>
    <xf numFmtId="164" fontId="43" fillId="0" borderId="0" xfId="1" applyNumberFormat="1" applyFont="1" applyBorder="1" applyAlignment="1" applyProtection="1">
      <alignment horizontal="center"/>
    </xf>
    <xf numFmtId="164" fontId="43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164" fontId="43" fillId="0" borderId="0" xfId="1" applyNumberFormat="1" applyFont="1" applyBorder="1" applyAlignment="1" applyProtection="1">
      <alignment horizontal="right"/>
    </xf>
    <xf numFmtId="164" fontId="43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2" fillId="0" borderId="9" xfId="0" applyFont="1" applyBorder="1" applyAlignment="1">
      <alignment horizontal="center"/>
    </xf>
    <xf numFmtId="164" fontId="44" fillId="0" borderId="4" xfId="1" applyNumberFormat="1" applyFont="1" applyBorder="1" applyAlignment="1" applyProtection="1">
      <alignment horizontal="center"/>
    </xf>
    <xf numFmtId="164" fontId="44" fillId="0" borderId="15" xfId="1" applyNumberFormat="1" applyFont="1" applyBorder="1" applyAlignment="1" applyProtection="1">
      <alignment horizontal="center"/>
    </xf>
    <xf numFmtId="164" fontId="44" fillId="0" borderId="4" xfId="0" applyNumberFormat="1" applyFont="1" applyBorder="1" applyAlignment="1">
      <alignment horizontal="center"/>
    </xf>
    <xf numFmtId="164" fontId="44" fillId="0" borderId="11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164" fontId="44" fillId="0" borderId="9" xfId="1" applyNumberFormat="1" applyFont="1" applyBorder="1" applyAlignment="1" applyProtection="1">
      <alignment horizontal="center"/>
    </xf>
    <xf numFmtId="164" fontId="44" fillId="0" borderId="2" xfId="1" applyNumberFormat="1" applyFont="1" applyBorder="1" applyAlignment="1" applyProtection="1">
      <alignment horizontal="center"/>
    </xf>
    <xf numFmtId="0" fontId="44" fillId="0" borderId="16" xfId="0" applyFont="1" applyBorder="1" applyAlignment="1">
      <alignment horizontal="center"/>
    </xf>
    <xf numFmtId="164" fontId="42" fillId="0" borderId="5" xfId="0" applyNumberFormat="1" applyFont="1" applyBorder="1" applyAlignment="1">
      <alignment horizontal="center"/>
    </xf>
    <xf numFmtId="0" fontId="40" fillId="0" borderId="0" xfId="0" applyFont="1"/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Border="1"/>
    <xf numFmtId="0" fontId="44" fillId="0" borderId="7" xfId="1" applyNumberFormat="1" applyFont="1" applyBorder="1" applyAlignment="1" applyProtection="1">
      <alignment horizontal="center" vertical="center"/>
    </xf>
    <xf numFmtId="0" fontId="44" fillId="0" borderId="9" xfId="1" applyNumberFormat="1" applyFont="1" applyBorder="1" applyAlignment="1" applyProtection="1">
      <alignment horizontal="center" vertical="center"/>
    </xf>
    <xf numFmtId="0" fontId="43" fillId="0" borderId="5" xfId="0" applyFont="1" applyBorder="1" applyAlignment="1">
      <alignment horizontal="center"/>
    </xf>
    <xf numFmtId="0" fontId="44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44" fillId="0" borderId="15" xfId="0" applyFont="1" applyBorder="1" applyAlignment="1">
      <alignment horizontal="center"/>
    </xf>
    <xf numFmtId="0" fontId="44" fillId="0" borderId="0" xfId="1" applyNumberFormat="1" applyFont="1" applyBorder="1" applyAlignment="1" applyProtection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2" fillId="0" borderId="6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167" fontId="44" fillId="0" borderId="0" xfId="0" applyNumberFormat="1" applyFont="1" applyBorder="1" applyAlignment="1">
      <alignment horizontal="center"/>
    </xf>
    <xf numFmtId="167" fontId="44" fillId="0" borderId="4" xfId="0" applyNumberFormat="1" applyFont="1" applyBorder="1" applyAlignment="1">
      <alignment horizontal="center"/>
    </xf>
    <xf numFmtId="0" fontId="53" fillId="0" borderId="7" xfId="0" applyFont="1" applyBorder="1" applyAlignment="1">
      <alignment horizontal="left" vertical="center"/>
    </xf>
    <xf numFmtId="167" fontId="44" fillId="0" borderId="7" xfId="0" applyNumberFormat="1" applyFont="1" applyBorder="1" applyAlignment="1">
      <alignment horizontal="center"/>
    </xf>
    <xf numFmtId="0" fontId="53" fillId="0" borderId="9" xfId="0" applyFont="1" applyBorder="1" applyAlignment="1">
      <alignment horizontal="left" vertical="center"/>
    </xf>
    <xf numFmtId="167" fontId="44" fillId="0" borderId="9" xfId="0" applyNumberFormat="1" applyFont="1" applyBorder="1" applyAlignment="1">
      <alignment horizontal="center"/>
    </xf>
    <xf numFmtId="0" fontId="54" fillId="0" borderId="5" xfId="0" applyFont="1" applyBorder="1" applyAlignment="1">
      <alignment horizontal="left" vertical="center"/>
    </xf>
    <xf numFmtId="167" fontId="42" fillId="0" borderId="5" xfId="0" applyNumberFormat="1" applyFont="1" applyBorder="1" applyAlignment="1">
      <alignment horizontal="center"/>
    </xf>
    <xf numFmtId="0" fontId="55" fillId="0" borderId="0" xfId="0" applyFont="1" applyAlignment="1">
      <alignment horizontal="left" vertical="center" wrapText="1"/>
    </xf>
    <xf numFmtId="0" fontId="50" fillId="0" borderId="0" xfId="0" applyFont="1"/>
    <xf numFmtId="0" fontId="45" fillId="0" borderId="4" xfId="0" applyFont="1" applyBorder="1"/>
    <xf numFmtId="0" fontId="45" fillId="0" borderId="15" xfId="0" applyFont="1" applyBorder="1"/>
    <xf numFmtId="0" fontId="45" fillId="0" borderId="7" xfId="0" applyFont="1" applyBorder="1"/>
    <xf numFmtId="0" fontId="45" fillId="0" borderId="0" xfId="0" applyFont="1" applyBorder="1"/>
    <xf numFmtId="0" fontId="42" fillId="0" borderId="3" xfId="0" applyFont="1" applyBorder="1" applyAlignment="1">
      <alignment horizontal="left" vertical="center"/>
    </xf>
    <xf numFmtId="0" fontId="43" fillId="0" borderId="5" xfId="0" applyFont="1" applyBorder="1"/>
    <xf numFmtId="0" fontId="43" fillId="0" borderId="12" xfId="0" applyFont="1" applyBorder="1"/>
    <xf numFmtId="0" fontId="45" fillId="0" borderId="9" xfId="0" applyFont="1" applyBorder="1"/>
    <xf numFmtId="0" fontId="45" fillId="0" borderId="2" xfId="0" applyFont="1" applyBorder="1"/>
    <xf numFmtId="0" fontId="0" fillId="0" borderId="2" xfId="0" applyBorder="1"/>
    <xf numFmtId="0" fontId="35" fillId="15" borderId="0" xfId="2" applyFont="1" applyFill="1" applyBorder="1" applyAlignment="1" applyProtection="1"/>
    <xf numFmtId="0" fontId="27" fillId="0" borderId="0" xfId="54" applyBorder="1" applyAlignment="1">
      <alignment horizontal="center" vertical="center"/>
    </xf>
    <xf numFmtId="0" fontId="27" fillId="0" borderId="0" xfId="54"/>
    <xf numFmtId="0" fontId="3" fillId="0" borderId="0" xfId="54" applyFont="1" applyBorder="1" applyAlignment="1">
      <alignment horizontal="center" vertical="center" wrapText="1"/>
    </xf>
    <xf numFmtId="0" fontId="31" fillId="0" borderId="0" xfId="54" applyFont="1" applyBorder="1" applyAlignment="1">
      <alignment horizontal="center" vertical="center"/>
    </xf>
    <xf numFmtId="0" fontId="31" fillId="0" borderId="0" xfId="54" applyFont="1" applyBorder="1" applyAlignment="1">
      <alignment horizontal="left" vertical="center" wrapText="1"/>
    </xf>
    <xf numFmtId="0" fontId="39" fillId="0" borderId="0" xfId="54" applyFont="1" applyBorder="1" applyAlignment="1">
      <alignment horizontal="left" vertical="center"/>
    </xf>
    <xf numFmtId="0" fontId="3" fillId="0" borderId="0" xfId="54" applyFont="1" applyBorder="1" applyAlignment="1">
      <alignment horizontal="center" vertical="center"/>
    </xf>
    <xf numFmtId="0" fontId="41" fillId="0" borderId="0" xfId="54" applyFont="1"/>
    <xf numFmtId="0" fontId="40" fillId="0" borderId="0" xfId="54" applyFont="1" applyBorder="1" applyAlignment="1">
      <alignment horizontal="center" vertical="center"/>
    </xf>
    <xf numFmtId="0" fontId="3" fillId="0" borderId="0" xfId="54" applyFont="1" applyAlignment="1">
      <alignment horizontal="left" vertical="center"/>
    </xf>
    <xf numFmtId="0" fontId="27" fillId="0" borderId="0" xfId="54" applyAlignment="1">
      <alignment horizontal="center"/>
    </xf>
    <xf numFmtId="0" fontId="50" fillId="0" borderId="0" xfId="54" applyFont="1" applyAlignment="1">
      <alignment horizontal="center"/>
    </xf>
    <xf numFmtId="0" fontId="50" fillId="0" borderId="0" xfId="54" applyFont="1" applyBorder="1" applyAlignment="1">
      <alignment horizontal="center"/>
    </xf>
    <xf numFmtId="0" fontId="42" fillId="0" borderId="5" xfId="54" applyFont="1" applyBorder="1" applyAlignment="1">
      <alignment horizontal="center" vertical="center"/>
    </xf>
    <xf numFmtId="0" fontId="3" fillId="0" borderId="5" xfId="54" applyFont="1" applyBorder="1" applyAlignment="1">
      <alignment horizontal="center" vertical="center"/>
    </xf>
    <xf numFmtId="0" fontId="57" fillId="0" borderId="5" xfId="54" applyFont="1" applyBorder="1" applyAlignment="1">
      <alignment horizontal="center" vertical="center"/>
    </xf>
    <xf numFmtId="0" fontId="3" fillId="0" borderId="15" xfId="54" applyFont="1" applyBorder="1" applyAlignment="1">
      <alignment vertical="center"/>
    </xf>
    <xf numFmtId="0" fontId="3" fillId="0" borderId="2" xfId="54" applyFont="1" applyBorder="1" applyAlignment="1">
      <alignment vertical="center"/>
    </xf>
    <xf numFmtId="0" fontId="44" fillId="0" borderId="4" xfId="54" applyFont="1" applyBorder="1" applyAlignment="1">
      <alignment horizontal="left" vertical="center"/>
    </xf>
    <xf numFmtId="0" fontId="45" fillId="0" borderId="0" xfId="54" applyFont="1" applyBorder="1" applyAlignment="1">
      <alignment horizontal="center"/>
    </xf>
    <xf numFmtId="0" fontId="45" fillId="0" borderId="4" xfId="54" applyFont="1" applyBorder="1" applyAlignment="1">
      <alignment horizontal="center"/>
    </xf>
    <xf numFmtId="0" fontId="31" fillId="0" borderId="4" xfId="54" applyFont="1" applyBorder="1" applyAlignment="1">
      <alignment horizontal="left" vertical="center"/>
    </xf>
    <xf numFmtId="167" fontId="31" fillId="0" borderId="15" xfId="54" applyNumberFormat="1" applyFont="1" applyBorder="1" applyAlignment="1">
      <alignment horizontal="center"/>
    </xf>
    <xf numFmtId="167" fontId="31" fillId="0" borderId="4" xfId="54" applyNumberFormat="1" applyFont="1" applyBorder="1" applyAlignment="1">
      <alignment horizontal="center"/>
    </xf>
    <xf numFmtId="0" fontId="18" fillId="0" borderId="4" xfId="54" applyFont="1" applyBorder="1" applyAlignment="1">
      <alignment horizontal="center"/>
    </xf>
    <xf numFmtId="0" fontId="31" fillId="0" borderId="6" xfId="54" applyFont="1" applyBorder="1" applyAlignment="1">
      <alignment horizontal="left" vertical="center"/>
    </xf>
    <xf numFmtId="1" fontId="27" fillId="0" borderId="6" xfId="54" applyNumberFormat="1" applyBorder="1" applyAlignment="1">
      <alignment horizontal="center"/>
    </xf>
    <xf numFmtId="1" fontId="27" fillId="0" borderId="4" xfId="54" applyNumberFormat="1" applyBorder="1" applyAlignment="1">
      <alignment horizontal="right"/>
    </xf>
    <xf numFmtId="0" fontId="44" fillId="0" borderId="7" xfId="54" applyFont="1" applyBorder="1" applyAlignment="1">
      <alignment horizontal="left" vertical="center"/>
    </xf>
    <xf numFmtId="0" fontId="45" fillId="0" borderId="7" xfId="54" applyFont="1" applyBorder="1" applyAlignment="1">
      <alignment horizontal="center"/>
    </xf>
    <xf numFmtId="0" fontId="31" fillId="0" borderId="7" xfId="54" applyFont="1" applyBorder="1" applyAlignment="1">
      <alignment horizontal="left" vertical="center"/>
    </xf>
    <xf numFmtId="167" fontId="31" fillId="0" borderId="0" xfId="54" applyNumberFormat="1" applyFont="1" applyBorder="1" applyAlignment="1">
      <alignment horizontal="center"/>
    </xf>
    <xf numFmtId="167" fontId="31" fillId="0" borderId="7" xfId="54" applyNumberFormat="1" applyFont="1" applyBorder="1" applyAlignment="1">
      <alignment horizontal="center"/>
    </xf>
    <xf numFmtId="0" fontId="18" fillId="0" borderId="7" xfId="54" applyFont="1" applyBorder="1" applyAlignment="1">
      <alignment horizontal="center"/>
    </xf>
    <xf numFmtId="0" fontId="31" fillId="0" borderId="10" xfId="54" applyFont="1" applyBorder="1" applyAlignment="1">
      <alignment horizontal="left" vertical="center"/>
    </xf>
    <xf numFmtId="1" fontId="27" fillId="0" borderId="10" xfId="54" applyNumberFormat="1" applyFont="1" applyBorder="1" applyAlignment="1">
      <alignment horizontal="center"/>
    </xf>
    <xf numFmtId="1" fontId="27" fillId="0" borderId="9" xfId="54" applyNumberFormat="1" applyFont="1" applyBorder="1" applyAlignment="1">
      <alignment horizontal="right"/>
    </xf>
    <xf numFmtId="1" fontId="27" fillId="0" borderId="4" xfId="54" applyNumberFormat="1" applyFont="1" applyBorder="1" applyAlignment="1">
      <alignment horizontal="center"/>
    </xf>
    <xf numFmtId="1" fontId="27" fillId="0" borderId="11" xfId="54" applyNumberFormat="1" applyFont="1" applyBorder="1" applyAlignment="1">
      <alignment horizontal="right"/>
    </xf>
    <xf numFmtId="0" fontId="31" fillId="0" borderId="8" xfId="54" applyFont="1" applyBorder="1" applyAlignment="1">
      <alignment horizontal="left" vertical="center"/>
    </xf>
    <xf numFmtId="1" fontId="27" fillId="0" borderId="7" xfId="54" applyNumberFormat="1" applyFont="1" applyBorder="1" applyAlignment="1">
      <alignment horizontal="center"/>
    </xf>
    <xf numFmtId="1" fontId="27" fillId="0" borderId="13" xfId="54" applyNumberFormat="1" applyFont="1" applyBorder="1" applyAlignment="1">
      <alignment horizontal="right"/>
    </xf>
    <xf numFmtId="1" fontId="27" fillId="0" borderId="9" xfId="54" applyNumberFormat="1" applyFont="1" applyBorder="1" applyAlignment="1">
      <alignment horizontal="center"/>
    </xf>
    <xf numFmtId="1" fontId="27" fillId="0" borderId="16" xfId="54" applyNumberFormat="1" applyFont="1" applyBorder="1" applyAlignment="1">
      <alignment horizontal="right"/>
    </xf>
    <xf numFmtId="0" fontId="31" fillId="0" borderId="7" xfId="54" applyFont="1" applyBorder="1" applyAlignment="1">
      <alignment horizontal="center"/>
    </xf>
    <xf numFmtId="0" fontId="27" fillId="0" borderId="0" xfId="54" applyFont="1" applyBorder="1"/>
    <xf numFmtId="0" fontId="45" fillId="0" borderId="9" xfId="54" applyFont="1" applyBorder="1" applyAlignment="1">
      <alignment horizontal="center"/>
    </xf>
    <xf numFmtId="0" fontId="50" fillId="0" borderId="0" xfId="54" applyFont="1" applyBorder="1"/>
    <xf numFmtId="0" fontId="31" fillId="0" borderId="9" xfId="54" applyFont="1" applyBorder="1" applyAlignment="1">
      <alignment horizontal="left" vertical="center"/>
    </xf>
    <xf numFmtId="167" fontId="31" fillId="0" borderId="10" xfId="54" applyNumberFormat="1" applyFont="1" applyBorder="1" applyAlignment="1">
      <alignment horizontal="center"/>
    </xf>
    <xf numFmtId="167" fontId="31" fillId="0" borderId="9" xfId="54" applyNumberFormat="1" applyFont="1" applyBorder="1" applyAlignment="1">
      <alignment horizontal="center"/>
    </xf>
    <xf numFmtId="167" fontId="31" fillId="0" borderId="2" xfId="54" applyNumberFormat="1" applyFont="1" applyBorder="1" applyAlignment="1">
      <alignment horizontal="center"/>
    </xf>
    <xf numFmtId="0" fontId="18" fillId="0" borderId="9" xfId="54" applyFont="1" applyBorder="1" applyAlignment="1">
      <alignment horizontal="center"/>
    </xf>
    <xf numFmtId="0" fontId="27" fillId="0" borderId="4" xfId="54" applyBorder="1" applyAlignment="1">
      <alignment horizontal="center" vertical="center"/>
    </xf>
    <xf numFmtId="0" fontId="27" fillId="0" borderId="11" xfId="54" applyBorder="1" applyAlignment="1">
      <alignment vertical="center"/>
    </xf>
    <xf numFmtId="0" fontId="42" fillId="0" borderId="5" xfId="54" applyFont="1" applyBorder="1" applyAlignment="1">
      <alignment horizontal="left" vertical="center"/>
    </xf>
    <xf numFmtId="0" fontId="43" fillId="0" borderId="14" xfId="54" applyFont="1" applyBorder="1" applyAlignment="1">
      <alignment horizontal="center"/>
    </xf>
    <xf numFmtId="0" fontId="43" fillId="0" borderId="5" xfId="54" applyFont="1" applyBorder="1" applyAlignment="1">
      <alignment horizontal="center"/>
    </xf>
    <xf numFmtId="0" fontId="43" fillId="0" borderId="3" xfId="54" applyFont="1" applyBorder="1" applyAlignment="1">
      <alignment horizontal="center"/>
    </xf>
    <xf numFmtId="0" fontId="39" fillId="0" borderId="0" xfId="54" applyFont="1" applyAlignment="1">
      <alignment horizontal="left" vertical="center"/>
    </xf>
    <xf numFmtId="0" fontId="27" fillId="0" borderId="13" xfId="54" applyBorder="1" applyAlignment="1">
      <alignment vertical="center"/>
    </xf>
    <xf numFmtId="0" fontId="27" fillId="0" borderId="16" xfId="54" applyBorder="1" applyAlignment="1">
      <alignment vertical="center"/>
    </xf>
    <xf numFmtId="0" fontId="27" fillId="0" borderId="9" xfId="54" applyBorder="1" applyAlignment="1">
      <alignment horizontal="center" vertical="center"/>
    </xf>
    <xf numFmtId="0" fontId="27" fillId="0" borderId="7" xfId="54" applyBorder="1" applyAlignment="1">
      <alignment horizontal="center" vertical="center"/>
    </xf>
    <xf numFmtId="0" fontId="42" fillId="0" borderId="14" xfId="54" applyFont="1" applyBorder="1" applyAlignment="1">
      <alignment horizontal="center" vertical="center"/>
    </xf>
    <xf numFmtId="0" fontId="42" fillId="0" borderId="3" xfId="54" applyFont="1" applyBorder="1" applyAlignment="1">
      <alignment horizontal="center" vertical="center"/>
    </xf>
    <xf numFmtId="0" fontId="44" fillId="0" borderId="13" xfId="54" applyFont="1" applyBorder="1" applyAlignment="1">
      <alignment horizontal="center"/>
    </xf>
    <xf numFmtId="0" fontId="44" fillId="0" borderId="0" xfId="54" applyFont="1" applyBorder="1" applyAlignment="1">
      <alignment horizontal="center"/>
    </xf>
    <xf numFmtId="0" fontId="44" fillId="0" borderId="4" xfId="54" applyFont="1" applyBorder="1" applyAlignment="1">
      <alignment horizontal="center"/>
    </xf>
    <xf numFmtId="0" fontId="44" fillId="0" borderId="7" xfId="54" applyFont="1" applyBorder="1" applyAlignment="1">
      <alignment horizontal="center"/>
    </xf>
    <xf numFmtId="0" fontId="44" fillId="0" borderId="0" xfId="54" applyFont="1" applyBorder="1"/>
    <xf numFmtId="0" fontId="59" fillId="0" borderId="5" xfId="54" applyFont="1" applyBorder="1" applyAlignment="1">
      <alignment horizontal="left" vertical="center"/>
    </xf>
    <xf numFmtId="167" fontId="45" fillId="0" borderId="0" xfId="54" applyNumberFormat="1" applyFont="1" applyBorder="1" applyAlignment="1">
      <alignment horizontal="center"/>
    </xf>
    <xf numFmtId="167" fontId="45" fillId="0" borderId="5" xfId="54" applyNumberFormat="1" applyFont="1" applyBorder="1" applyAlignment="1">
      <alignment horizontal="center"/>
    </xf>
    <xf numFmtId="0" fontId="41" fillId="0" borderId="9" xfId="54" applyFont="1" applyBorder="1" applyAlignment="1">
      <alignment horizontal="center"/>
    </xf>
    <xf numFmtId="0" fontId="27" fillId="0" borderId="0" xfId="54" applyFont="1" applyAlignment="1">
      <alignment vertical="center"/>
    </xf>
    <xf numFmtId="0" fontId="41" fillId="0" borderId="5" xfId="54" applyFont="1" applyBorder="1" applyAlignment="1">
      <alignment horizontal="center"/>
    </xf>
    <xf numFmtId="0" fontId="45" fillId="0" borderId="5" xfId="54" applyFont="1" applyBorder="1" applyAlignment="1">
      <alignment horizontal="center"/>
    </xf>
    <xf numFmtId="0" fontId="44" fillId="0" borderId="0" xfId="54" applyFont="1" applyBorder="1" applyAlignment="1">
      <alignment vertical="center"/>
    </xf>
    <xf numFmtId="0" fontId="44" fillId="0" borderId="7" xfId="54" applyFont="1" applyBorder="1" applyAlignment="1">
      <alignment horizontal="center" vertical="center"/>
    </xf>
    <xf numFmtId="0" fontId="44" fillId="0" borderId="9" xfId="54" applyFont="1" applyBorder="1" applyAlignment="1">
      <alignment horizontal="left" vertical="center"/>
    </xf>
    <xf numFmtId="0" fontId="42" fillId="0" borderId="9" xfId="54" applyFont="1" applyBorder="1" applyAlignment="1">
      <alignment horizontal="left" vertical="center"/>
    </xf>
    <xf numFmtId="0" fontId="42" fillId="0" borderId="5" xfId="54" applyFont="1" applyBorder="1"/>
    <xf numFmtId="0" fontId="42" fillId="0" borderId="5" xfId="54" applyFont="1" applyBorder="1" applyAlignment="1">
      <alignment horizontal="center"/>
    </xf>
    <xf numFmtId="0" fontId="27" fillId="0" borderId="13" xfId="54" applyBorder="1" applyAlignment="1">
      <alignment horizontal="center" vertical="center"/>
    </xf>
    <xf numFmtId="0" fontId="58" fillId="0" borderId="5" xfId="54" applyFont="1" applyBorder="1" applyAlignment="1">
      <alignment horizontal="center"/>
    </xf>
    <xf numFmtId="0" fontId="58" fillId="0" borderId="14" xfId="54" applyFont="1" applyBorder="1" applyAlignment="1">
      <alignment horizontal="center"/>
    </xf>
    <xf numFmtId="0" fontId="45" fillId="0" borderId="0" xfId="54" applyFont="1" applyBorder="1" applyAlignment="1">
      <alignment horizontal="center" vertical="center"/>
    </xf>
    <xf numFmtId="0" fontId="45" fillId="0" borderId="7" xfId="54" applyFont="1" applyBorder="1" applyAlignment="1">
      <alignment horizontal="center" vertical="center"/>
    </xf>
    <xf numFmtId="0" fontId="44" fillId="0" borderId="4" xfId="54" applyFont="1" applyBorder="1" applyAlignment="1">
      <alignment horizontal="center" vertical="center"/>
    </xf>
    <xf numFmtId="0" fontId="43" fillId="0" borderId="12" xfId="54" applyFont="1" applyBorder="1" applyAlignment="1">
      <alignment horizontal="center"/>
    </xf>
    <xf numFmtId="0" fontId="43" fillId="0" borderId="12" xfId="54" applyFont="1" applyBorder="1" applyAlignment="1">
      <alignment horizontal="center" vertical="center"/>
    </xf>
    <xf numFmtId="0" fontId="43" fillId="0" borderId="5" xfId="54" applyFont="1" applyBorder="1" applyAlignment="1">
      <alignment horizontal="center" vertical="center"/>
    </xf>
    <xf numFmtId="0" fontId="3" fillId="0" borderId="0" xfId="54" applyFont="1" applyBorder="1" applyAlignment="1">
      <alignment horizontal="left" vertical="center"/>
    </xf>
    <xf numFmtId="0" fontId="58" fillId="0" borderId="0" xfId="54" applyFont="1" applyBorder="1" applyAlignment="1">
      <alignment horizontal="center"/>
    </xf>
    <xf numFmtId="0" fontId="60" fillId="0" borderId="0" xfId="54" applyFont="1" applyBorder="1" applyAlignment="1">
      <alignment horizontal="center" vertical="center"/>
    </xf>
    <xf numFmtId="0" fontId="60" fillId="0" borderId="0" xfId="54" applyFont="1" applyBorder="1" applyAlignment="1">
      <alignment horizontal="center"/>
    </xf>
    <xf numFmtId="0" fontId="42" fillId="0" borderId="4" xfId="54" applyFont="1" applyBorder="1" applyAlignment="1">
      <alignment horizontal="center" vertical="center"/>
    </xf>
    <xf numFmtId="0" fontId="44" fillId="0" borderId="6" xfId="54" applyFont="1" applyBorder="1" applyAlignment="1">
      <alignment horizontal="left" vertical="center"/>
    </xf>
    <xf numFmtId="0" fontId="45" fillId="0" borderId="15" xfId="54" applyFont="1" applyBorder="1" applyAlignment="1">
      <alignment horizontal="center"/>
    </xf>
    <xf numFmtId="0" fontId="45" fillId="0" borderId="4" xfId="54" applyFont="1" applyBorder="1" applyAlignment="1">
      <alignment horizontal="center" vertical="center"/>
    </xf>
    <xf numFmtId="0" fontId="45" fillId="0" borderId="15" xfId="54" applyFont="1" applyBorder="1" applyAlignment="1">
      <alignment horizontal="center" vertical="center"/>
    </xf>
    <xf numFmtId="0" fontId="45" fillId="0" borderId="11" xfId="54" applyFont="1" applyBorder="1" applyAlignment="1">
      <alignment horizontal="center"/>
    </xf>
    <xf numFmtId="0" fontId="44" fillId="0" borderId="8" xfId="54" applyFont="1" applyBorder="1" applyAlignment="1">
      <alignment horizontal="left" vertical="center"/>
    </xf>
    <xf numFmtId="0" fontId="45" fillId="0" borderId="13" xfId="54" applyFont="1" applyBorder="1" applyAlignment="1">
      <alignment horizontal="center"/>
    </xf>
    <xf numFmtId="0" fontId="44" fillId="0" borderId="10" xfId="54" applyFont="1" applyBorder="1" applyAlignment="1">
      <alignment horizontal="left" vertical="center"/>
    </xf>
    <xf numFmtId="0" fontId="45" fillId="0" borderId="2" xfId="54" applyFont="1" applyBorder="1" applyAlignment="1">
      <alignment horizontal="center"/>
    </xf>
    <xf numFmtId="0" fontId="45" fillId="0" borderId="9" xfId="54" applyFont="1" applyBorder="1" applyAlignment="1">
      <alignment horizontal="center" vertical="center"/>
    </xf>
    <xf numFmtId="0" fontId="45" fillId="0" borderId="16" xfId="54" applyFont="1" applyBorder="1" applyAlignment="1">
      <alignment horizontal="center"/>
    </xf>
    <xf numFmtId="0" fontId="43" fillId="0" borderId="9" xfId="54" applyFont="1" applyBorder="1" applyAlignment="1">
      <alignment horizontal="center"/>
    </xf>
    <xf numFmtId="0" fontId="49" fillId="0" borderId="9" xfId="54" applyFont="1" applyBorder="1" applyAlignment="1">
      <alignment horizontal="center" vertical="center"/>
    </xf>
    <xf numFmtId="0" fontId="49" fillId="0" borderId="5" xfId="54" applyFont="1" applyBorder="1" applyAlignment="1">
      <alignment horizontal="center" vertical="center"/>
    </xf>
    <xf numFmtId="0" fontId="49" fillId="0" borderId="9" xfId="54" applyFont="1" applyBorder="1" applyAlignment="1">
      <alignment horizontal="center"/>
    </xf>
    <xf numFmtId="0" fontId="0" fillId="15" borderId="0" xfId="0" applyFill="1" applyAlignment="1">
      <alignment horizontal="right"/>
    </xf>
    <xf numFmtId="0" fontId="35" fillId="15" borderId="0" xfId="0" applyFont="1" applyFill="1" applyAlignment="1">
      <alignment horizontal="right"/>
    </xf>
    <xf numFmtId="0" fontId="42" fillId="0" borderId="11" xfId="54" applyFont="1" applyBorder="1" applyAlignment="1">
      <alignment horizontal="center"/>
    </xf>
    <xf numFmtId="0" fontId="42" fillId="0" borderId="4" xfId="54" applyFont="1" applyBorder="1" applyAlignment="1">
      <alignment horizontal="center"/>
    </xf>
    <xf numFmtId="0" fontId="42" fillId="0" borderId="6" xfId="54" applyFont="1" applyBorder="1" applyAlignment="1">
      <alignment horizontal="center"/>
    </xf>
    <xf numFmtId="0" fontId="44" fillId="0" borderId="15" xfId="54" applyFont="1" applyBorder="1" applyAlignment="1">
      <alignment horizontal="center"/>
    </xf>
    <xf numFmtId="49" fontId="43" fillId="14" borderId="5" xfId="0" applyNumberFormat="1" applyFont="1" applyFill="1" applyBorder="1" applyAlignment="1">
      <alignment horizontal="center" wrapText="1"/>
    </xf>
    <xf numFmtId="0" fontId="61" fillId="0" borderId="5" xfId="0" applyFont="1" applyBorder="1" applyAlignment="1">
      <alignment horizontal="center"/>
    </xf>
    <xf numFmtId="49" fontId="45" fillId="14" borderId="0" xfId="0" applyNumberFormat="1" applyFont="1" applyFill="1" applyBorder="1" applyAlignment="1">
      <alignment horizontal="left" wrapText="1"/>
    </xf>
    <xf numFmtId="0" fontId="45" fillId="14" borderId="8" xfId="0" applyFont="1" applyFill="1" applyBorder="1" applyAlignment="1">
      <alignment horizontal="center" vertical="center" wrapText="1"/>
    </xf>
    <xf numFmtId="0" fontId="44" fillId="14" borderId="8" xfId="0" applyFont="1" applyFill="1" applyBorder="1" applyAlignment="1">
      <alignment horizontal="left" vertical="center"/>
    </xf>
    <xf numFmtId="0" fontId="44" fillId="14" borderId="4" xfId="0" applyFont="1" applyFill="1" applyBorder="1" applyAlignment="1">
      <alignment horizontal="center" vertical="center"/>
    </xf>
    <xf numFmtId="0" fontId="44" fillId="14" borderId="8" xfId="0" applyFont="1" applyFill="1" applyBorder="1" applyAlignment="1">
      <alignment horizontal="left"/>
    </xf>
    <xf numFmtId="0" fontId="44" fillId="14" borderId="7" xfId="0" applyFont="1" applyFill="1" applyBorder="1" applyAlignment="1">
      <alignment horizontal="center" vertical="center"/>
    </xf>
    <xf numFmtId="0" fontId="44" fillId="14" borderId="8" xfId="0" applyFont="1" applyFill="1" applyBorder="1" applyAlignment="1">
      <alignment horizontal="left" vertical="center" wrapText="1"/>
    </xf>
    <xf numFmtId="0" fontId="44" fillId="14" borderId="8" xfId="0" applyFont="1" applyFill="1" applyBorder="1" applyAlignment="1"/>
    <xf numFmtId="0" fontId="47" fillId="14" borderId="7" xfId="0" applyFont="1" applyFill="1" applyBorder="1" applyAlignment="1">
      <alignment horizontal="center" vertical="center"/>
    </xf>
    <xf numFmtId="0" fontId="44" fillId="0" borderId="8" xfId="0" applyFont="1" applyBorder="1" applyAlignment="1">
      <alignment horizontal="left" vertical="center"/>
    </xf>
    <xf numFmtId="0" fontId="44" fillId="14" borderId="7" xfId="0" applyFont="1" applyFill="1" applyBorder="1" applyAlignment="1">
      <alignment horizontal="left" vertical="center"/>
    </xf>
    <xf numFmtId="0" fontId="44" fillId="14" borderId="7" xfId="0" applyFont="1" applyFill="1" applyBorder="1" applyAlignment="1">
      <alignment horizontal="left" vertical="center" wrapText="1"/>
    </xf>
    <xf numFmtId="0" fontId="44" fillId="14" borderId="7" xfId="0" applyFont="1" applyFill="1" applyBorder="1" applyAlignment="1">
      <alignment horizontal="left"/>
    </xf>
    <xf numFmtId="0" fontId="44" fillId="14" borderId="9" xfId="0" applyFont="1" applyFill="1" applyBorder="1" applyAlignment="1">
      <alignment horizontal="center" vertical="center"/>
    </xf>
    <xf numFmtId="0" fontId="42" fillId="14" borderId="5" xfId="0" applyFont="1" applyFill="1" applyBorder="1" applyAlignment="1">
      <alignment horizontal="center"/>
    </xf>
    <xf numFmtId="0" fontId="33" fillId="15" borderId="0" xfId="0" applyFont="1" applyFill="1" applyBorder="1" applyAlignment="1">
      <alignment horizontal="center" wrapText="1"/>
    </xf>
    <xf numFmtId="0" fontId="35" fillId="15" borderId="0" xfId="2" applyFont="1" applyFill="1" applyBorder="1" applyAlignment="1" applyProtection="1">
      <alignment horizontal="center"/>
    </xf>
    <xf numFmtId="0" fontId="35" fillId="15" borderId="0" xfId="0" applyFont="1" applyFill="1" applyBorder="1" applyAlignment="1">
      <alignment horizontal="right"/>
    </xf>
    <xf numFmtId="0" fontId="39" fillId="0" borderId="0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6" fillId="14" borderId="0" xfId="0" applyFont="1" applyFill="1" applyBorder="1" applyAlignment="1">
      <alignment horizontal="right"/>
    </xf>
    <xf numFmtId="0" fontId="35" fillId="15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left" vertical="center"/>
    </xf>
    <xf numFmtId="0" fontId="42" fillId="0" borderId="5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/>
    </xf>
    <xf numFmtId="0" fontId="42" fillId="0" borderId="5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27" fillId="0" borderId="0" xfId="54" applyBorder="1" applyAlignment="1">
      <alignment horizontal="center" vertical="center"/>
    </xf>
    <xf numFmtId="0" fontId="39" fillId="0" borderId="0" xfId="54" applyFont="1" applyBorder="1" applyAlignment="1">
      <alignment horizontal="left" vertical="center" wrapText="1"/>
    </xf>
    <xf numFmtId="0" fontId="3" fillId="0" borderId="0" xfId="54" applyFont="1" applyBorder="1" applyAlignment="1">
      <alignment horizontal="center" vertical="center" wrapText="1"/>
    </xf>
    <xf numFmtId="0" fontId="39" fillId="0" borderId="0" xfId="54" applyFont="1" applyBorder="1" applyAlignment="1">
      <alignment horizontal="left" vertical="center"/>
    </xf>
    <xf numFmtId="0" fontId="3" fillId="0" borderId="0" xfId="54" applyFont="1" applyBorder="1" applyAlignment="1">
      <alignment horizontal="center" vertical="center"/>
    </xf>
    <xf numFmtId="0" fontId="42" fillId="0" borderId="5" xfId="54" applyFont="1" applyBorder="1" applyAlignment="1">
      <alignment horizontal="center" vertical="center" wrapText="1"/>
    </xf>
    <xf numFmtId="0" fontId="42" fillId="0" borderId="5" xfId="54" applyFont="1" applyBorder="1" applyAlignment="1">
      <alignment horizontal="center" vertical="center"/>
    </xf>
    <xf numFmtId="0" fontId="57" fillId="0" borderId="5" xfId="54" applyFont="1" applyBorder="1" applyAlignment="1">
      <alignment horizontal="center" vertical="center" wrapText="1"/>
    </xf>
    <xf numFmtId="0" fontId="3" fillId="0" borderId="3" xfId="54" applyFont="1" applyBorder="1" applyAlignment="1">
      <alignment horizontal="center" vertical="center" wrapText="1"/>
    </xf>
    <xf numFmtId="0" fontId="58" fillId="0" borderId="5" xfId="54" applyFont="1" applyBorder="1" applyAlignment="1">
      <alignment horizontal="center" vertical="center" wrapText="1"/>
    </xf>
    <xf numFmtId="0" fontId="42" fillId="0" borderId="14" xfId="54" applyFont="1" applyBorder="1" applyAlignment="1">
      <alignment horizontal="center" vertical="center"/>
    </xf>
    <xf numFmtId="0" fontId="58" fillId="0" borderId="3" xfId="54" applyFont="1" applyBorder="1" applyAlignment="1">
      <alignment horizontal="left" vertical="center"/>
    </xf>
    <xf numFmtId="0" fontId="3" fillId="0" borderId="0" xfId="54" applyFont="1" applyBorder="1" applyAlignment="1">
      <alignment horizontal="left" vertical="center" wrapText="1"/>
    </xf>
    <xf numFmtId="0" fontId="42" fillId="0" borderId="4" xfId="54" applyFont="1" applyBorder="1" applyAlignment="1">
      <alignment horizontal="center" vertical="center"/>
    </xf>
    <xf numFmtId="0" fontId="42" fillId="0" borderId="3" xfId="54" applyFont="1" applyBorder="1" applyAlignment="1">
      <alignment horizontal="center" vertical="center"/>
    </xf>
  </cellXfs>
  <cellStyles count="75">
    <cellStyle name="Accent 1 1" xfId="3" xr:uid="{00000000-0005-0000-0000-000006000000}"/>
    <cellStyle name="Accent 1 1 2" xfId="4" xr:uid="{00000000-0005-0000-0000-000007000000}"/>
    <cellStyle name="Accent 1 6" xfId="5" xr:uid="{00000000-0005-0000-0000-000008000000}"/>
    <cellStyle name="Accent 1 7" xfId="6" xr:uid="{00000000-0005-0000-0000-000009000000}"/>
    <cellStyle name="Accent 2 1" xfId="7" xr:uid="{00000000-0005-0000-0000-00000A000000}"/>
    <cellStyle name="Accent 2 1 2" xfId="8" xr:uid="{00000000-0005-0000-0000-00000B000000}"/>
    <cellStyle name="Accent 2 7" xfId="9" xr:uid="{00000000-0005-0000-0000-00000C000000}"/>
    <cellStyle name="Accent 2 8" xfId="10" xr:uid="{00000000-0005-0000-0000-00000D000000}"/>
    <cellStyle name="Accent 3 1" xfId="11" xr:uid="{00000000-0005-0000-0000-00000E000000}"/>
    <cellStyle name="Accent 3 1 2" xfId="12" xr:uid="{00000000-0005-0000-0000-00000F000000}"/>
    <cellStyle name="Accent 3 8" xfId="13" xr:uid="{00000000-0005-0000-0000-000010000000}"/>
    <cellStyle name="Accent 3 9" xfId="14" xr:uid="{00000000-0005-0000-0000-000011000000}"/>
    <cellStyle name="Accent 4" xfId="15" xr:uid="{00000000-0005-0000-0000-000012000000}"/>
    <cellStyle name="Accent 4 2" xfId="16" xr:uid="{00000000-0005-0000-0000-000013000000}"/>
    <cellStyle name="Accent 5" xfId="17" xr:uid="{00000000-0005-0000-0000-000014000000}"/>
    <cellStyle name="Accent 6" xfId="18" xr:uid="{00000000-0005-0000-0000-000015000000}"/>
    <cellStyle name="Bad 1" xfId="19" xr:uid="{00000000-0005-0000-0000-000016000000}"/>
    <cellStyle name="Bad 1 2" xfId="20" xr:uid="{00000000-0005-0000-0000-000017000000}"/>
    <cellStyle name="Bad 10" xfId="21" xr:uid="{00000000-0005-0000-0000-000018000000}"/>
    <cellStyle name="Bad 9" xfId="22" xr:uid="{00000000-0005-0000-0000-000019000000}"/>
    <cellStyle name="Error 1" xfId="23" xr:uid="{00000000-0005-0000-0000-00001A000000}"/>
    <cellStyle name="Error 1 2" xfId="24" xr:uid="{00000000-0005-0000-0000-00001B000000}"/>
    <cellStyle name="Error 10" xfId="25" xr:uid="{00000000-0005-0000-0000-00001C000000}"/>
    <cellStyle name="Error 11" xfId="26" xr:uid="{00000000-0005-0000-0000-00001D000000}"/>
    <cellStyle name="Footnote 1" xfId="27" xr:uid="{00000000-0005-0000-0000-00001E000000}"/>
    <cellStyle name="Footnote 1 2" xfId="28" xr:uid="{00000000-0005-0000-0000-00001F000000}"/>
    <cellStyle name="Footnote 11" xfId="29" xr:uid="{00000000-0005-0000-0000-000020000000}"/>
    <cellStyle name="Footnote 12" xfId="30" xr:uid="{00000000-0005-0000-0000-000021000000}"/>
    <cellStyle name="Good 1" xfId="31" xr:uid="{00000000-0005-0000-0000-000022000000}"/>
    <cellStyle name="Good 1 2" xfId="32" xr:uid="{00000000-0005-0000-0000-000023000000}"/>
    <cellStyle name="Good 12" xfId="33" xr:uid="{00000000-0005-0000-0000-000024000000}"/>
    <cellStyle name="Good 13" xfId="34" xr:uid="{00000000-0005-0000-0000-000025000000}"/>
    <cellStyle name="Heading (user) 13" xfId="35" xr:uid="{00000000-0005-0000-0000-000026000000}"/>
    <cellStyle name="Heading 1 1" xfId="36" xr:uid="{00000000-0005-0000-0000-000027000000}"/>
    <cellStyle name="Heading 1 1 2" xfId="37" xr:uid="{00000000-0005-0000-0000-000028000000}"/>
    <cellStyle name="Heading 1 14" xfId="38" xr:uid="{00000000-0005-0000-0000-000029000000}"/>
    <cellStyle name="Heading 1 15" xfId="39" xr:uid="{00000000-0005-0000-0000-00002A000000}"/>
    <cellStyle name="Heading 2 1" xfId="40" xr:uid="{00000000-0005-0000-0000-00002B000000}"/>
    <cellStyle name="Heading 2 1 2" xfId="41" xr:uid="{00000000-0005-0000-0000-00002C000000}"/>
    <cellStyle name="Heading 2 15" xfId="42" xr:uid="{00000000-0005-0000-0000-00002D000000}"/>
    <cellStyle name="Heading 2 16" xfId="43" xr:uid="{00000000-0005-0000-0000-00002E000000}"/>
    <cellStyle name="Heading 3" xfId="44" xr:uid="{00000000-0005-0000-0000-00002F000000}"/>
    <cellStyle name="Heading 3 2" xfId="45" xr:uid="{00000000-0005-0000-0000-000030000000}"/>
    <cellStyle name="Heading1" xfId="46" xr:uid="{00000000-0005-0000-0000-000031000000}"/>
    <cellStyle name="Hiperlink" xfId="2" builtinId="8"/>
    <cellStyle name="Hiperlink 2" xfId="47" xr:uid="{00000000-0005-0000-0000-000032000000}"/>
    <cellStyle name="Hyperlink 17" xfId="48" xr:uid="{00000000-0005-0000-0000-000033000000}"/>
    <cellStyle name="Neutral 1" xfId="49" xr:uid="{00000000-0005-0000-0000-000034000000}"/>
    <cellStyle name="Neutral 1 2" xfId="50" xr:uid="{00000000-0005-0000-0000-000035000000}"/>
    <cellStyle name="Neutral 16" xfId="51" xr:uid="{00000000-0005-0000-0000-000036000000}"/>
    <cellStyle name="Neutral 18" xfId="52" xr:uid="{00000000-0005-0000-0000-000037000000}"/>
    <cellStyle name="Normal" xfId="0" builtinId="0"/>
    <cellStyle name="Normal 2" xfId="53" xr:uid="{00000000-0005-0000-0000-000038000000}"/>
    <cellStyle name="Normal 3" xfId="54" xr:uid="{00000000-0005-0000-0000-000039000000}"/>
    <cellStyle name="Normal 4" xfId="55" xr:uid="{00000000-0005-0000-0000-00003A000000}"/>
    <cellStyle name="Note 1" xfId="56" xr:uid="{00000000-0005-0000-0000-00003B000000}"/>
    <cellStyle name="Note 1 2" xfId="57" xr:uid="{00000000-0005-0000-0000-00003C000000}"/>
    <cellStyle name="Note 17" xfId="58" xr:uid="{00000000-0005-0000-0000-00003D000000}"/>
    <cellStyle name="Note 19" xfId="59" xr:uid="{00000000-0005-0000-0000-00003E000000}"/>
    <cellStyle name="Result" xfId="60" xr:uid="{00000000-0005-0000-0000-00003F000000}"/>
    <cellStyle name="Result2" xfId="61" xr:uid="{00000000-0005-0000-0000-000040000000}"/>
    <cellStyle name="Status 1" xfId="62" xr:uid="{00000000-0005-0000-0000-000041000000}"/>
    <cellStyle name="Status 1 2" xfId="63" xr:uid="{00000000-0005-0000-0000-000042000000}"/>
    <cellStyle name="Status 18" xfId="64" xr:uid="{00000000-0005-0000-0000-000043000000}"/>
    <cellStyle name="Status 20" xfId="65" xr:uid="{00000000-0005-0000-0000-000044000000}"/>
    <cellStyle name="Text 1" xfId="66" xr:uid="{00000000-0005-0000-0000-000045000000}"/>
    <cellStyle name="Text 1 2" xfId="67" xr:uid="{00000000-0005-0000-0000-000046000000}"/>
    <cellStyle name="Text 19" xfId="68" xr:uid="{00000000-0005-0000-0000-000047000000}"/>
    <cellStyle name="Text 21" xfId="69" xr:uid="{00000000-0005-0000-0000-000048000000}"/>
    <cellStyle name="Vírgula" xfId="1" builtinId="3"/>
    <cellStyle name="Vírgula 2" xfId="70" xr:uid="{00000000-0005-0000-0000-000049000000}"/>
    <cellStyle name="Warning 1" xfId="71" xr:uid="{00000000-0005-0000-0000-00004A000000}"/>
    <cellStyle name="Warning 1 2" xfId="72" xr:uid="{00000000-0005-0000-0000-00004B000000}"/>
    <cellStyle name="Warning 20" xfId="73" xr:uid="{00000000-0005-0000-0000-00004C000000}"/>
    <cellStyle name="Warning 22" xfId="74" xr:uid="{00000000-0005-0000-0000-00004D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CCCCC"/>
      <rgbColor rgb="FF808080"/>
      <rgbColor rgb="FF9999FF"/>
      <rgbColor rgb="FF993366"/>
      <rgbColor rgb="FFFFFFCC"/>
      <rgbColor rgb="FFDDDDDD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CC0000"/>
      <rgbColor rgb="FF006600"/>
      <rgbColor rgb="FF0000EE"/>
      <rgbColor rgb="FF00CCFF"/>
      <rgbColor rgb="FFCCFFFF"/>
      <rgbColor rgb="FFCCFFCC"/>
      <rgbColor rgb="FFFFFF99"/>
      <rgbColor rgb="FF99CCFF"/>
      <rgbColor rgb="FFFFCCCC"/>
      <rgbColor rgb="FFCC99FF"/>
      <rgbColor rgb="FFFFCC99"/>
      <rgbColor rgb="FF3366FF"/>
      <rgbColor rgb="FF33CCCC"/>
      <rgbColor rgb="FF80A0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33300"/>
      <rgbColor rgb="FF9966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Resumo projetos'!$B$14</c:f>
              <c:strCache>
                <c:ptCount val="1"/>
                <c:pt idx="0">
                  <c:v>Projetos sem financiamento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Resumo projetos'!$C$13:$F$13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 Resumo projetos'!$C$14:$F$14</c:f>
              <c:numCache>
                <c:formatCode>General</c:formatCode>
                <c:ptCount val="4"/>
                <c:pt idx="0">
                  <c:v>380</c:v>
                </c:pt>
                <c:pt idx="1">
                  <c:v>286</c:v>
                </c:pt>
                <c:pt idx="2">
                  <c:v>272</c:v>
                </c:pt>
                <c:pt idx="3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E-4C4C-85EC-1D1D6512A0D4}"/>
            </c:ext>
          </c:extLst>
        </c:ser>
        <c:ser>
          <c:idx val="1"/>
          <c:order val="1"/>
          <c:tx>
            <c:strRef>
              <c:f>' Resumo projetos'!$B$15</c:f>
              <c:strCache>
                <c:ptCount val="1"/>
                <c:pt idx="0">
                  <c:v>Projetos em rede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Resumo projetos'!$C$13:$F$13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 Resumo projetos'!$C$15:$F$15</c:f>
              <c:numCache>
                <c:formatCode>General</c:formatCode>
                <c:ptCount val="4"/>
                <c:pt idx="0">
                  <c:v>14</c:v>
                </c:pt>
                <c:pt idx="1">
                  <c:v>10</c:v>
                </c:pt>
                <c:pt idx="2">
                  <c:v>29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E-4C4C-85EC-1D1D6512A0D4}"/>
            </c:ext>
          </c:extLst>
        </c:ser>
        <c:ser>
          <c:idx val="2"/>
          <c:order val="2"/>
          <c:tx>
            <c:strRef>
              <c:f>' Resumo projetos'!$B$16</c:f>
              <c:strCache>
                <c:ptCount val="1"/>
                <c:pt idx="0">
                  <c:v>Projetos com cooperação internacional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 Resumo projetos'!$C$13:$F$13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 Resumo projetos'!$C$16:$F$16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8E-4C4C-85EC-1D1D6512A0D4}"/>
            </c:ext>
          </c:extLst>
        </c:ser>
        <c:ser>
          <c:idx val="3"/>
          <c:order val="3"/>
          <c:tx>
            <c:strRef>
              <c:f>' Resumo projetos'!$B$17</c:f>
              <c:strCache>
                <c:ptCount val="1"/>
                <c:pt idx="0">
                  <c:v>Projetos com financiamento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Resumo projetos'!$C$13:$F$13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 Resumo projetos'!$C$17:$F$17</c:f>
              <c:numCache>
                <c:formatCode>General</c:formatCode>
                <c:ptCount val="4"/>
                <c:pt idx="0">
                  <c:v>14</c:v>
                </c:pt>
                <c:pt idx="1">
                  <c:v>9</c:v>
                </c:pt>
                <c:pt idx="2">
                  <c:v>39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8E-4C4C-85EC-1D1D6512A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469656"/>
        <c:axId val="379469984"/>
      </c:barChart>
      <c:catAx>
        <c:axId val="37946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9469984"/>
        <c:crosses val="autoZero"/>
        <c:auto val="1"/>
        <c:lblAlgn val="ctr"/>
        <c:lblOffset val="100"/>
        <c:noMultiLvlLbl val="0"/>
      </c:catAx>
      <c:valAx>
        <c:axId val="37946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9469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956495717998052E-2"/>
          <c:y val="0.86340726302490978"/>
          <c:w val="0.85301286712505109"/>
          <c:h val="0.115166557614349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ecursos projetos individuais'!A1"/><Relationship Id="rId13" Type="http://schemas.openxmlformats.org/officeDocument/2006/relationships/hyperlink" Target="#'Bolsas IC'!A1"/><Relationship Id="rId3" Type="http://schemas.openxmlformats.org/officeDocument/2006/relationships/hyperlink" Target="#'Resumo IC'!A1"/><Relationship Id="rId7" Type="http://schemas.openxmlformats.org/officeDocument/2006/relationships/hyperlink" Target="#'grupos de pesquisa'!A1"/><Relationship Id="rId12" Type="http://schemas.openxmlformats.org/officeDocument/2006/relationships/hyperlink" Target="#'bolsista produtividade'!A1"/><Relationship Id="rId2" Type="http://schemas.openxmlformats.org/officeDocument/2006/relationships/hyperlink" Target="#'Proj em execu&#231;&#227;o e finalizados'!A1"/><Relationship Id="rId1" Type="http://schemas.openxmlformats.org/officeDocument/2006/relationships/hyperlink" Target="#' Resumo projetos'!A1"/><Relationship Id="rId6" Type="http://schemas.openxmlformats.org/officeDocument/2006/relationships/hyperlink" Target="#envolvimento!A1"/><Relationship Id="rId11" Type="http://schemas.openxmlformats.org/officeDocument/2006/relationships/image" Target="../media/image1.png"/><Relationship Id="rId5" Type="http://schemas.openxmlformats.org/officeDocument/2006/relationships/hyperlink" Target="#'Sem bolsa'!A1"/><Relationship Id="rId10" Type="http://schemas.openxmlformats.org/officeDocument/2006/relationships/hyperlink" Target="#'projetos cancelados'!A1"/><Relationship Id="rId4" Type="http://schemas.openxmlformats.org/officeDocument/2006/relationships/hyperlink" Target="#interdisciplinaridade!A1"/><Relationship Id="rId9" Type="http://schemas.openxmlformats.org/officeDocument/2006/relationships/hyperlink" Target="#'Proj Rede Cooper Finan extern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207720</xdr:colOff>
      <xdr:row>22</xdr:row>
      <xdr:rowOff>149040</xdr:rowOff>
    </xdr:from>
    <xdr:to>
      <xdr:col>8</xdr:col>
      <xdr:colOff>241200</xdr:colOff>
      <xdr:row>25</xdr:row>
      <xdr:rowOff>20880</xdr:rowOff>
    </xdr:to>
    <xdr:sp macro="" textlink="">
      <xdr:nvSpPr>
        <xdr:cNvPr id="2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2840" y="4377960"/>
          <a:ext cx="4549320" cy="44352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Resumo dos dados sobre projetos 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211320</xdr:colOff>
      <xdr:row>11</xdr:row>
      <xdr:rowOff>0</xdr:rowOff>
    </xdr:from>
    <xdr:to>
      <xdr:col>8</xdr:col>
      <xdr:colOff>267480</xdr:colOff>
      <xdr:row>13</xdr:row>
      <xdr:rowOff>164520</xdr:rowOff>
    </xdr:to>
    <xdr:sp macro="" textlink="">
      <xdr:nvSpPr>
        <xdr:cNvPr id="3" name="CustomShap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6440" y="2133360"/>
          <a:ext cx="4572000" cy="54576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Projetos de Pesquisa em execução e finalizados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606240</xdr:colOff>
      <xdr:row>30</xdr:row>
      <xdr:rowOff>131760</xdr:rowOff>
    </xdr:from>
    <xdr:to>
      <xdr:col>16</xdr:col>
      <xdr:colOff>27360</xdr:colOff>
      <xdr:row>33</xdr:row>
      <xdr:rowOff>44280</xdr:rowOff>
    </xdr:to>
    <xdr:sp macro="" textlink="">
      <xdr:nvSpPr>
        <xdr:cNvPr id="4" name="CustomShap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67200" y="5884560"/>
          <a:ext cx="4582440" cy="48420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Resumo dos dados sobre bolsas de Iniciação Científica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599400</xdr:colOff>
      <xdr:row>19</xdr:row>
      <xdr:rowOff>108000</xdr:rowOff>
    </xdr:from>
    <xdr:to>
      <xdr:col>16</xdr:col>
      <xdr:colOff>19800</xdr:colOff>
      <xdr:row>22</xdr:row>
      <xdr:rowOff>54720</xdr:rowOff>
    </xdr:to>
    <xdr:sp macro="" textlink="">
      <xdr:nvSpPr>
        <xdr:cNvPr id="5" name="CustomShap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60360" y="3765600"/>
          <a:ext cx="4581720" cy="51804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Grau de interdisciplinaridade dos projetos de pesquisa 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612000</xdr:colOff>
      <xdr:row>27</xdr:row>
      <xdr:rowOff>11880</xdr:rowOff>
    </xdr:from>
    <xdr:to>
      <xdr:col>16</xdr:col>
      <xdr:colOff>30960</xdr:colOff>
      <xdr:row>29</xdr:row>
      <xdr:rowOff>144000</xdr:rowOff>
    </xdr:to>
    <xdr:sp macro="" textlink="">
      <xdr:nvSpPr>
        <xdr:cNvPr id="6" name="CustomShap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772960" y="5193360"/>
          <a:ext cx="4580280" cy="51300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Quantitativo de Modalidade de Iniciação Científica sem bolsa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4680</xdr:colOff>
      <xdr:row>15</xdr:row>
      <xdr:rowOff>31680</xdr:rowOff>
    </xdr:from>
    <xdr:to>
      <xdr:col>16</xdr:col>
      <xdr:colOff>38880</xdr:colOff>
      <xdr:row>18</xdr:row>
      <xdr:rowOff>73800</xdr:rowOff>
    </xdr:to>
    <xdr:sp macro="" textlink="">
      <xdr:nvSpPr>
        <xdr:cNvPr id="7" name="CustomShap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11120" y="2927160"/>
          <a:ext cx="4550040" cy="61344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Índice de envolvimento dos alunos em Atividades de Pesquisa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217080</xdr:colOff>
      <xdr:row>30</xdr:row>
      <xdr:rowOff>86400</xdr:rowOff>
    </xdr:from>
    <xdr:to>
      <xdr:col>8</xdr:col>
      <xdr:colOff>273960</xdr:colOff>
      <xdr:row>32</xdr:row>
      <xdr:rowOff>184320</xdr:rowOff>
    </xdr:to>
    <xdr:sp macro="" textlink="">
      <xdr:nvSpPr>
        <xdr:cNvPr id="8" name="CustomShap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2200" y="5839200"/>
          <a:ext cx="4572720" cy="47916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Quantitativo de grupos de Pesquisa cadastrados no CNPQ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196920</xdr:colOff>
      <xdr:row>26</xdr:row>
      <xdr:rowOff>63720</xdr:rowOff>
    </xdr:from>
    <xdr:to>
      <xdr:col>8</xdr:col>
      <xdr:colOff>253800</xdr:colOff>
      <xdr:row>29</xdr:row>
      <xdr:rowOff>64440</xdr:rowOff>
    </xdr:to>
    <xdr:sp macro="" textlink="">
      <xdr:nvSpPr>
        <xdr:cNvPr id="9" name="CustomShape 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42040" y="5054760"/>
          <a:ext cx="4572720" cy="57204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Volume de recursos financeiros captados por projetos de pesquisa individuais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247680</xdr:colOff>
      <xdr:row>15</xdr:row>
      <xdr:rowOff>52920</xdr:rowOff>
    </xdr:from>
    <xdr:to>
      <xdr:col>8</xdr:col>
      <xdr:colOff>279000</xdr:colOff>
      <xdr:row>18</xdr:row>
      <xdr:rowOff>43200</xdr:rowOff>
    </xdr:to>
    <xdr:sp macro="" textlink="">
      <xdr:nvSpPr>
        <xdr:cNvPr id="10" name="CustomShape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92800" y="2948400"/>
          <a:ext cx="4547160" cy="56160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Projetos de Pesquisa em rede, com cooperação internacional , com financiamento externo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236520</xdr:colOff>
      <xdr:row>19</xdr:row>
      <xdr:rowOff>69120</xdr:rowOff>
    </xdr:from>
    <xdr:to>
      <xdr:col>8</xdr:col>
      <xdr:colOff>270720</xdr:colOff>
      <xdr:row>21</xdr:row>
      <xdr:rowOff>181800</xdr:rowOff>
    </xdr:to>
    <xdr:sp macro="" textlink="">
      <xdr:nvSpPr>
        <xdr:cNvPr id="11" name="CustomShap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81640" y="3726720"/>
          <a:ext cx="4550040" cy="49356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0" rIns="9000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Projetos de Pesquisa cancelados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361800</xdr:colOff>
      <xdr:row>4</xdr:row>
      <xdr:rowOff>106200</xdr:rowOff>
    </xdr:from>
    <xdr:to>
      <xdr:col>16</xdr:col>
      <xdr:colOff>561960</xdr:colOff>
      <xdr:row>8</xdr:row>
      <xdr:rowOff>57240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61800" y="906120"/>
          <a:ext cx="10522440" cy="713160"/>
        </a:xfrm>
        <a:prstGeom prst="flowChartInputOutput">
          <a:avLst/>
        </a:prstGeom>
        <a:solidFill>
          <a:srgbClr val="2F5597"/>
        </a:solidFill>
        <a:ln w="12600">
          <a:solidFill>
            <a:srgbClr val="32549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50000"/>
            </a:lnSpc>
          </a:pPr>
          <a:r>
            <a:rPr lang="pt-BR" sz="1400" b="1" strike="noStrike" spc="-1">
              <a:solidFill>
                <a:srgbClr val="FFFFFF"/>
              </a:solidFill>
              <a:latin typeface="Times New Roman"/>
            </a:rPr>
            <a:t>Relatório de Indicadores da Pró-reitoria de Pesquisa e Pós-Graduação 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400" b="1" strike="noStrike" spc="-1">
              <a:solidFill>
                <a:srgbClr val="FFFFFF"/>
              </a:solidFill>
              <a:latin typeface="Times New Roman"/>
            </a:rPr>
            <a:t>Indicadores da Pesquisa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335592</xdr:colOff>
      <xdr:row>0</xdr:row>
      <xdr:rowOff>116666</xdr:rowOff>
    </xdr:from>
    <xdr:to>
      <xdr:col>16</xdr:col>
      <xdr:colOff>458712</xdr:colOff>
      <xdr:row>4</xdr:row>
      <xdr:rowOff>66266</xdr:rowOff>
    </xdr:to>
    <xdr:pic>
      <xdr:nvPicPr>
        <xdr:cNvPr id="13" name="Imagem 3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35592" y="116666"/>
          <a:ext cx="9838620" cy="747319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607320</xdr:colOff>
      <xdr:row>11</xdr:row>
      <xdr:rowOff>2520</xdr:rowOff>
    </xdr:from>
    <xdr:to>
      <xdr:col>16</xdr:col>
      <xdr:colOff>27720</xdr:colOff>
      <xdr:row>14</xdr:row>
      <xdr:rowOff>20880</xdr:rowOff>
    </xdr:to>
    <xdr:sp macro="" textlink="">
      <xdr:nvSpPr>
        <xdr:cNvPr id="14" name="CustomShape 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768280" y="2135880"/>
          <a:ext cx="4581720" cy="59004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Quantitativo de Bolsistas Produtividade em Pesquisa 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10080</xdr:colOff>
      <xdr:row>23</xdr:row>
      <xdr:rowOff>75240</xdr:rowOff>
    </xdr:from>
    <xdr:to>
      <xdr:col>16</xdr:col>
      <xdr:colOff>44280</xdr:colOff>
      <xdr:row>26</xdr:row>
      <xdr:rowOff>75240</xdr:rowOff>
    </xdr:to>
    <xdr:sp macro="" textlink="">
      <xdr:nvSpPr>
        <xdr:cNvPr id="15" name="CustomShape 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816520" y="4494600"/>
          <a:ext cx="4550040" cy="57168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Quantitativo de Bolsas de Iniciação Científica (PIBIC, PIBIT, PIBIC AAF)</a:t>
          </a:r>
          <a:endParaRPr lang="pt-BR" sz="1300" b="0" strike="noStrike" spc="-1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69480</xdr:colOff>
      <xdr:row>0</xdr:row>
      <xdr:rowOff>57240</xdr:rowOff>
    </xdr:from>
    <xdr:to>
      <xdr:col>6</xdr:col>
      <xdr:colOff>506880</xdr:colOff>
      <xdr:row>3</xdr:row>
      <xdr:rowOff>152640</xdr:rowOff>
    </xdr:to>
    <xdr:pic>
      <xdr:nvPicPr>
        <xdr:cNvPr id="24" name="Imagem 1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30840" y="57240"/>
          <a:ext cx="5981760" cy="666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441000</xdr:colOff>
      <xdr:row>0</xdr:row>
      <xdr:rowOff>95400</xdr:rowOff>
    </xdr:from>
    <xdr:to>
      <xdr:col>13</xdr:col>
      <xdr:colOff>583260</xdr:colOff>
      <xdr:row>4</xdr:row>
      <xdr:rowOff>3240</xdr:rowOff>
    </xdr:to>
    <xdr:pic>
      <xdr:nvPicPr>
        <xdr:cNvPr id="25" name="Imagem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02360" y="95400"/>
          <a:ext cx="10868760" cy="66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88560</xdr:colOff>
      <xdr:row>0</xdr:row>
      <xdr:rowOff>66600</xdr:rowOff>
    </xdr:from>
    <xdr:to>
      <xdr:col>10</xdr:col>
      <xdr:colOff>478440</xdr:colOff>
      <xdr:row>3</xdr:row>
      <xdr:rowOff>133920</xdr:rowOff>
    </xdr:to>
    <xdr:pic>
      <xdr:nvPicPr>
        <xdr:cNvPr id="26" name="Imagem 1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49920" y="66600"/>
          <a:ext cx="8804880" cy="638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212400</xdr:colOff>
      <xdr:row>0</xdr:row>
      <xdr:rowOff>19080</xdr:rowOff>
    </xdr:from>
    <xdr:to>
      <xdr:col>9</xdr:col>
      <xdr:colOff>602280</xdr:colOff>
      <xdr:row>3</xdr:row>
      <xdr:rowOff>65880</xdr:rowOff>
    </xdr:to>
    <xdr:pic>
      <xdr:nvPicPr>
        <xdr:cNvPr id="27" name="Imagem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3760" y="19080"/>
          <a:ext cx="6477120" cy="618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564840</xdr:colOff>
      <xdr:row>0</xdr:row>
      <xdr:rowOff>26280</xdr:rowOff>
    </xdr:from>
    <xdr:to>
      <xdr:col>11</xdr:col>
      <xdr:colOff>735401</xdr:colOff>
      <xdr:row>3</xdr:row>
      <xdr:rowOff>132480</xdr:rowOff>
    </xdr:to>
    <xdr:pic>
      <xdr:nvPicPr>
        <xdr:cNvPr id="14" name="Imagem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26200" y="26280"/>
          <a:ext cx="10464120" cy="677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0</xdr:row>
      <xdr:rowOff>33172</xdr:rowOff>
    </xdr:from>
    <xdr:to>
      <xdr:col>11</xdr:col>
      <xdr:colOff>535781</xdr:colOff>
      <xdr:row>3</xdr:row>
      <xdr:rowOff>174652</xdr:rowOff>
    </xdr:to>
    <xdr:pic>
      <xdr:nvPicPr>
        <xdr:cNvPr id="15" name="Imagem 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0094" y="33172"/>
          <a:ext cx="9370218" cy="7129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69480</xdr:colOff>
      <xdr:row>0</xdr:row>
      <xdr:rowOff>66600</xdr:rowOff>
    </xdr:from>
    <xdr:to>
      <xdr:col>6</xdr:col>
      <xdr:colOff>335520</xdr:colOff>
      <xdr:row>3</xdr:row>
      <xdr:rowOff>151560</xdr:rowOff>
    </xdr:to>
    <xdr:pic>
      <xdr:nvPicPr>
        <xdr:cNvPr id="17" name="Imagem 7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30840" y="66600"/>
          <a:ext cx="5546160" cy="684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51480</xdr:colOff>
      <xdr:row>0</xdr:row>
      <xdr:rowOff>47520</xdr:rowOff>
    </xdr:from>
    <xdr:to>
      <xdr:col>9</xdr:col>
      <xdr:colOff>101</xdr:colOff>
      <xdr:row>3</xdr:row>
      <xdr:rowOff>208800</xdr:rowOff>
    </xdr:to>
    <xdr:pic>
      <xdr:nvPicPr>
        <xdr:cNvPr id="18" name="Imagem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12840" y="47520"/>
          <a:ext cx="6695280" cy="732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238126</xdr:colOff>
      <xdr:row>18</xdr:row>
      <xdr:rowOff>51195</xdr:rowOff>
    </xdr:from>
    <xdr:to>
      <xdr:col>8</xdr:col>
      <xdr:colOff>357189</xdr:colOff>
      <xdr:row>36</xdr:row>
      <xdr:rowOff>178592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F02A46-0619-47F5-AAFD-ED1CAE4ED3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69480</xdr:colOff>
      <xdr:row>0</xdr:row>
      <xdr:rowOff>38160</xdr:rowOff>
    </xdr:from>
    <xdr:to>
      <xdr:col>7</xdr:col>
      <xdr:colOff>576011</xdr:colOff>
      <xdr:row>3</xdr:row>
      <xdr:rowOff>132840</xdr:rowOff>
    </xdr:to>
    <xdr:pic>
      <xdr:nvPicPr>
        <xdr:cNvPr id="20" name="Imagem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30840" y="38160"/>
          <a:ext cx="7128000" cy="66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136080</xdr:colOff>
      <xdr:row>0</xdr:row>
      <xdr:rowOff>47520</xdr:rowOff>
    </xdr:from>
    <xdr:to>
      <xdr:col>7</xdr:col>
      <xdr:colOff>421200</xdr:colOff>
      <xdr:row>3</xdr:row>
      <xdr:rowOff>142920</xdr:rowOff>
    </xdr:to>
    <xdr:pic>
      <xdr:nvPicPr>
        <xdr:cNvPr id="21" name="Imagem 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7440" y="47520"/>
          <a:ext cx="7028280" cy="666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69480</xdr:colOff>
      <xdr:row>0</xdr:row>
      <xdr:rowOff>57240</xdr:rowOff>
    </xdr:from>
    <xdr:to>
      <xdr:col>7</xdr:col>
      <xdr:colOff>754560</xdr:colOff>
      <xdr:row>3</xdr:row>
      <xdr:rowOff>180360</xdr:rowOff>
    </xdr:to>
    <xdr:pic>
      <xdr:nvPicPr>
        <xdr:cNvPr id="22" name="Imagem 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30840" y="57240"/>
          <a:ext cx="6962760" cy="694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50400</xdr:colOff>
      <xdr:row>0</xdr:row>
      <xdr:rowOff>38160</xdr:rowOff>
    </xdr:from>
    <xdr:to>
      <xdr:col>6</xdr:col>
      <xdr:colOff>744840</xdr:colOff>
      <xdr:row>3</xdr:row>
      <xdr:rowOff>105480</xdr:rowOff>
    </xdr:to>
    <xdr:pic>
      <xdr:nvPicPr>
        <xdr:cNvPr id="23" name="Imagem 1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11760" y="38160"/>
          <a:ext cx="6288120" cy="638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0"/>
  <sheetViews>
    <sheetView showGridLines="0" showRowColHeaders="0" tabSelected="1" zoomScale="80" zoomScaleNormal="80" workbookViewId="0">
      <selection sqref="A1:Q4"/>
    </sheetView>
  </sheetViews>
  <sheetFormatPr defaultColWidth="0" defaultRowHeight="15" zeroHeight="1"/>
  <cols>
    <col min="1" max="17" width="9.140625" customWidth="1"/>
    <col min="18" max="18" width="4.42578125" style="15" customWidth="1"/>
    <col min="19" max="19" width="4" style="15" customWidth="1"/>
    <col min="20" max="1025" width="9.140625" style="16" hidden="1" customWidth="1"/>
    <col min="1026" max="1026" width="9.140625" customWidth="1"/>
    <col min="1027" max="16384" width="9.140625" hidden="1"/>
  </cols>
  <sheetData>
    <row r="1" spans="1:19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7"/>
    </row>
    <row r="2" spans="1:19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7"/>
    </row>
    <row r="3" spans="1:1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7"/>
    </row>
    <row r="4" spans="1:19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7"/>
    </row>
    <row r="5" spans="1:19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13"/>
    </row>
    <row r="6" spans="1:19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13"/>
    </row>
    <row r="7" spans="1:19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13"/>
    </row>
    <row r="8" spans="1:19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3"/>
    </row>
    <row r="9" spans="1:19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13"/>
    </row>
    <row r="10" spans="1:19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3"/>
    </row>
    <row r="11" spans="1:19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3"/>
    </row>
    <row r="12" spans="1:19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3"/>
    </row>
    <row r="13" spans="1:19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3"/>
    </row>
    <row r="14" spans="1:19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3"/>
    </row>
    <row r="15" spans="1:19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13"/>
    </row>
    <row r="16" spans="1:19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13"/>
    </row>
    <row r="17" spans="1:19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13"/>
    </row>
    <row r="18" spans="1:19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3"/>
    </row>
    <row r="19" spans="1:19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3"/>
    </row>
    <row r="20" spans="1:19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13"/>
    </row>
    <row r="21" spans="1:19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3"/>
    </row>
    <row r="22" spans="1:19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3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3"/>
    </row>
    <row r="24" spans="1:19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3"/>
    </row>
    <row r="25" spans="1:19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3"/>
    </row>
    <row r="26" spans="1:19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3"/>
    </row>
    <row r="27" spans="1:19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3"/>
    </row>
    <row r="28" spans="1:19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3"/>
    </row>
    <row r="29" spans="1:19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3"/>
    </row>
    <row r="30" spans="1:19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13"/>
    </row>
    <row r="31" spans="1:19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13"/>
    </row>
    <row r="32" spans="1:19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13"/>
    </row>
    <row r="33" spans="1:19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  <c r="S33" s="13"/>
    </row>
    <row r="34" spans="1:19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13"/>
    </row>
    <row r="35" spans="1:19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13"/>
    </row>
    <row r="36" spans="1:19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13"/>
    </row>
    <row r="37" spans="1:19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3"/>
    </row>
    <row r="38" spans="1:19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13"/>
    </row>
    <row r="39" spans="1:19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  <c r="S39" s="13"/>
    </row>
    <row r="40" spans="1:19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13"/>
    </row>
    <row r="41" spans="1:19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13"/>
    </row>
    <row r="42" spans="1:19" hidden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13"/>
    </row>
    <row r="43" spans="1:19" hidden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13"/>
    </row>
    <row r="44" spans="1:19" hidden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3"/>
    </row>
    <row r="45" spans="1:19" hidden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13"/>
    </row>
    <row r="46" spans="1:19" hidden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  <c r="S46" s="13"/>
    </row>
    <row r="47" spans="1:19" hidden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13"/>
    </row>
    <row r="48" spans="1:19" hidden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 s="13"/>
    </row>
    <row r="49" spans="1:19" hidden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13"/>
    </row>
    <row r="50" spans="1:19" hidden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3"/>
    </row>
    <row r="51" spans="1:19" hidden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13"/>
    </row>
    <row r="52" spans="1:19" hidden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S52" s="13"/>
    </row>
    <row r="53" spans="1:19" hidden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13"/>
    </row>
    <row r="54" spans="1:19" hidden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  <c r="S54" s="13"/>
    </row>
    <row r="55" spans="1:19" hidden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13"/>
    </row>
    <row r="56" spans="1:19" hidden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  <c r="S56" s="13"/>
    </row>
    <row r="57" spans="1:19" hidden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  <c r="S57" s="13"/>
    </row>
    <row r="58" spans="1:19" hidden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  <c r="S58" s="13"/>
    </row>
    <row r="59" spans="1:19" hidden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13"/>
    </row>
    <row r="60" spans="1:19" hidden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13"/>
    </row>
  </sheetData>
  <mergeCells count="9">
    <mergeCell ref="S27:S43"/>
    <mergeCell ref="S44:S47"/>
    <mergeCell ref="S48:S58"/>
    <mergeCell ref="S59:S60"/>
    <mergeCell ref="A1:Q4"/>
    <mergeCell ref="S5:S8"/>
    <mergeCell ref="S9:S11"/>
    <mergeCell ref="S12:S20"/>
    <mergeCell ref="S21:S26"/>
  </mergeCell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MK52"/>
  <sheetViews>
    <sheetView showGridLines="0" showRowColHeaders="0" zoomScale="80" zoomScaleNormal="80" workbookViewId="0">
      <selection activeCell="AMK1" sqref="AMK1:XFD1048576"/>
    </sheetView>
  </sheetViews>
  <sheetFormatPr defaultColWidth="0" defaultRowHeight="15" zeroHeight="1"/>
  <cols>
    <col min="1" max="1" width="3.7109375" customWidth="1"/>
    <col min="2" max="2" width="46" customWidth="1"/>
    <col min="3" max="7" width="8.140625" customWidth="1"/>
    <col min="8" max="8" width="11.42578125" customWidth="1"/>
    <col min="9" max="257" width="11.42578125" hidden="1" customWidth="1"/>
    <col min="258" max="258" width="46" hidden="1" customWidth="1"/>
    <col min="259" max="263" width="8.140625" hidden="1" customWidth="1"/>
    <col min="264" max="513" width="11.42578125" hidden="1" customWidth="1"/>
    <col min="514" max="514" width="46" hidden="1" customWidth="1"/>
    <col min="515" max="519" width="8.140625" hidden="1" customWidth="1"/>
    <col min="520" max="769" width="11.42578125" hidden="1" customWidth="1"/>
    <col min="770" max="770" width="46" hidden="1" customWidth="1"/>
    <col min="771" max="775" width="8.140625" hidden="1" customWidth="1"/>
    <col min="776" max="1023" width="11.42578125" hidden="1" customWidth="1"/>
    <col min="1024" max="1024" width="5.140625" customWidth="1"/>
    <col min="1025" max="1025" width="2.28515625" hidden="1"/>
    <col min="1026" max="16384" width="9.140625" hidden="1"/>
  </cols>
  <sheetData>
    <row r="1" spans="2:7" ht="15" customHeight="1"/>
    <row r="2" spans="2:7" ht="15" customHeight="1"/>
    <row r="3" spans="2:7" ht="15" customHeight="1"/>
    <row r="4" spans="2:7" ht="15" customHeight="1"/>
    <row r="5" spans="2:7" ht="15" customHeight="1">
      <c r="B5" s="12" t="s">
        <v>0</v>
      </c>
      <c r="C5" s="12"/>
      <c r="D5" s="12"/>
      <c r="E5" s="12"/>
      <c r="F5" s="12"/>
      <c r="G5" s="12"/>
    </row>
    <row r="6" spans="2:7" ht="15" customHeight="1">
      <c r="B6" s="12" t="s">
        <v>149</v>
      </c>
      <c r="C6" s="12"/>
      <c r="D6" s="12"/>
      <c r="E6" s="12"/>
      <c r="F6" s="12"/>
      <c r="G6" s="12"/>
    </row>
    <row r="7" spans="2:7" ht="15" customHeight="1">
      <c r="B7" s="24"/>
      <c r="C7" s="24"/>
      <c r="D7" s="24"/>
      <c r="E7" s="25"/>
      <c r="F7" s="25"/>
      <c r="G7" s="25"/>
    </row>
    <row r="8" spans="2:7" ht="15" customHeight="1">
      <c r="B8" s="24"/>
      <c r="C8" s="24"/>
      <c r="D8" s="24"/>
      <c r="E8" s="25"/>
      <c r="F8" s="393" t="s">
        <v>3</v>
      </c>
      <c r="G8" s="393"/>
    </row>
    <row r="11" spans="2:7" ht="15" customHeight="1">
      <c r="B11" s="386" t="s">
        <v>150</v>
      </c>
      <c r="C11" s="386"/>
      <c r="D11" s="386"/>
      <c r="E11" s="386"/>
      <c r="F11" s="386"/>
      <c r="G11" s="386"/>
    </row>
    <row r="12" spans="2:7" ht="15" customHeight="1">
      <c r="B12" s="234" t="s">
        <v>151</v>
      </c>
      <c r="C12" s="221"/>
      <c r="D12" s="221"/>
      <c r="E12" s="221"/>
      <c r="F12" s="221"/>
      <c r="G12" s="221"/>
    </row>
    <row r="13" spans="2:7" ht="15" customHeight="1">
      <c r="B13" s="234"/>
      <c r="C13" s="221"/>
      <c r="D13" s="221"/>
      <c r="E13" s="221"/>
      <c r="F13" s="221"/>
      <c r="G13" s="221"/>
    </row>
    <row r="14" spans="2:7" ht="15" customHeight="1">
      <c r="B14" s="403" t="s">
        <v>152</v>
      </c>
      <c r="C14" s="403"/>
      <c r="D14" s="403"/>
      <c r="E14" s="403"/>
      <c r="F14" s="403"/>
      <c r="G14" s="403"/>
    </row>
    <row r="15" spans="2:7" ht="15" customHeight="1">
      <c r="B15" s="220"/>
      <c r="C15" s="206"/>
      <c r="D15" s="221"/>
      <c r="E15" s="221"/>
      <c r="F15" s="221"/>
      <c r="G15" s="221"/>
    </row>
    <row r="16" spans="2:7" ht="15" customHeight="1">
      <c r="B16" s="394" t="s">
        <v>153</v>
      </c>
      <c r="C16" s="394"/>
      <c r="D16" s="394"/>
      <c r="E16" s="394"/>
      <c r="F16" s="394"/>
      <c r="G16" s="394"/>
    </row>
    <row r="17" spans="2:7" ht="15" customHeight="1">
      <c r="B17" s="394" t="s">
        <v>154</v>
      </c>
      <c r="C17" s="394"/>
      <c r="D17" s="394"/>
      <c r="E17" s="394"/>
      <c r="F17" s="394"/>
      <c r="G17" s="394"/>
    </row>
    <row r="18" spans="2:7" ht="15" customHeight="1">
      <c r="B18" s="223"/>
      <c r="C18" s="223"/>
      <c r="D18" s="223"/>
      <c r="E18" s="223"/>
      <c r="F18" s="223"/>
      <c r="G18" s="223"/>
    </row>
    <row r="19" spans="2:7" ht="15" customHeight="1">
      <c r="B19" s="223"/>
      <c r="C19" s="223"/>
      <c r="D19" s="223"/>
      <c r="E19" s="223"/>
      <c r="F19" s="223"/>
      <c r="G19" s="223"/>
    </row>
    <row r="20" spans="2:7" ht="15" customHeight="1">
      <c r="B20" s="221" t="s">
        <v>155</v>
      </c>
      <c r="D20" s="235"/>
      <c r="E20" s="235"/>
      <c r="F20" s="235"/>
      <c r="G20" s="235"/>
    </row>
    <row r="21" spans="2:7" ht="15" customHeight="1">
      <c r="B21" s="146" t="s">
        <v>6</v>
      </c>
      <c r="C21" s="146">
        <v>2016</v>
      </c>
      <c r="D21" s="146">
        <v>2017</v>
      </c>
      <c r="E21" s="146">
        <v>2018</v>
      </c>
      <c r="F21" s="146">
        <v>2019</v>
      </c>
      <c r="G21" s="146">
        <v>2020</v>
      </c>
    </row>
    <row r="22" spans="2:7" ht="15" customHeight="1">
      <c r="B22" s="152" t="s">
        <v>14</v>
      </c>
      <c r="C22" s="236"/>
      <c r="D22" s="237"/>
      <c r="E22" s="236"/>
      <c r="F22" s="237"/>
      <c r="G22" s="236"/>
    </row>
    <row r="23" spans="2:7" ht="15" customHeight="1">
      <c r="B23" s="76" t="s">
        <v>13</v>
      </c>
      <c r="C23" s="238"/>
      <c r="D23" s="239"/>
      <c r="E23" s="238"/>
      <c r="F23" s="239"/>
      <c r="G23" s="238"/>
    </row>
    <row r="24" spans="2:7" ht="15" customHeight="1">
      <c r="B24" s="76" t="s">
        <v>15</v>
      </c>
      <c r="C24" s="238"/>
      <c r="D24" s="239"/>
      <c r="E24" s="238"/>
      <c r="F24" s="239"/>
      <c r="G24" s="238"/>
    </row>
    <row r="25" spans="2:7" ht="15" customHeight="1">
      <c r="B25" s="76" t="s">
        <v>16</v>
      </c>
      <c r="C25" s="238"/>
      <c r="D25" s="239"/>
      <c r="E25" s="238"/>
      <c r="F25" s="239"/>
      <c r="G25" s="238"/>
    </row>
    <row r="26" spans="2:7" ht="15" customHeight="1">
      <c r="B26" s="76" t="s">
        <v>17</v>
      </c>
      <c r="C26" s="238"/>
      <c r="D26" s="239"/>
      <c r="E26" s="238"/>
      <c r="F26" s="239"/>
      <c r="G26" s="238"/>
    </row>
    <row r="27" spans="2:7" ht="15" customHeight="1">
      <c r="B27" s="76" t="s">
        <v>20</v>
      </c>
      <c r="C27" s="238"/>
      <c r="D27" s="239"/>
      <c r="E27" s="238"/>
      <c r="F27" s="239"/>
      <c r="G27" s="238"/>
    </row>
    <row r="28" spans="2:7" ht="15" customHeight="1">
      <c r="B28" s="76" t="s">
        <v>21</v>
      </c>
      <c r="C28" s="238"/>
      <c r="D28" s="239"/>
      <c r="E28" s="238"/>
      <c r="F28" s="239"/>
      <c r="G28" s="238"/>
    </row>
    <row r="29" spans="2:7" ht="15" customHeight="1">
      <c r="B29" s="76" t="s">
        <v>22</v>
      </c>
      <c r="C29" s="238"/>
      <c r="D29" s="239"/>
      <c r="E29" s="238"/>
      <c r="F29" s="239"/>
      <c r="G29" s="238"/>
    </row>
    <row r="30" spans="2:7" ht="15" customHeight="1">
      <c r="B30" s="76" t="s">
        <v>23</v>
      </c>
      <c r="C30" s="238"/>
      <c r="D30" s="239"/>
      <c r="E30" s="238"/>
      <c r="F30" s="239"/>
      <c r="G30" s="238"/>
    </row>
    <row r="31" spans="2:7" ht="15" customHeight="1">
      <c r="B31" s="76" t="s">
        <v>24</v>
      </c>
      <c r="C31" s="238"/>
      <c r="D31" s="239"/>
      <c r="E31" s="238"/>
      <c r="F31" s="239"/>
      <c r="G31" s="238"/>
    </row>
    <row r="32" spans="2:7" ht="15" customHeight="1">
      <c r="B32" s="76" t="s">
        <v>25</v>
      </c>
      <c r="C32" s="238"/>
      <c r="D32" s="239"/>
      <c r="E32" s="238"/>
      <c r="F32" s="239"/>
      <c r="G32" s="238"/>
    </row>
    <row r="33" spans="2:7" ht="15" customHeight="1">
      <c r="B33" s="76" t="s">
        <v>26</v>
      </c>
      <c r="C33" s="238"/>
      <c r="D33" s="239"/>
      <c r="E33" s="238"/>
      <c r="F33" s="239"/>
      <c r="G33" s="238"/>
    </row>
    <row r="34" spans="2:7" ht="15" customHeight="1">
      <c r="B34" s="76" t="s">
        <v>27</v>
      </c>
      <c r="C34" s="238"/>
      <c r="D34" s="239"/>
      <c r="E34" s="238"/>
      <c r="F34" s="239"/>
      <c r="G34" s="238"/>
    </row>
    <row r="35" spans="2:7" ht="15" customHeight="1">
      <c r="B35" s="76" t="s">
        <v>28</v>
      </c>
      <c r="C35" s="238"/>
      <c r="D35" s="239"/>
      <c r="E35" s="238"/>
      <c r="F35" s="239"/>
      <c r="G35" s="238"/>
    </row>
    <row r="36" spans="2:7" ht="15" customHeight="1">
      <c r="B36" s="240" t="s">
        <v>29</v>
      </c>
      <c r="C36" s="241"/>
      <c r="D36" s="242"/>
      <c r="E36" s="241"/>
      <c r="F36" s="242"/>
      <c r="G36" s="241"/>
    </row>
    <row r="37" spans="2:7" ht="15" customHeight="1">
      <c r="B37" s="215"/>
      <c r="C37" s="239"/>
      <c r="D37" s="239"/>
      <c r="E37" s="239"/>
      <c r="F37" s="239"/>
      <c r="G37" s="239"/>
    </row>
    <row r="38" spans="2:7" ht="15" customHeight="1">
      <c r="B38" s="215"/>
      <c r="C38" s="239"/>
      <c r="D38" s="239"/>
      <c r="E38" s="239"/>
      <c r="F38" s="239"/>
      <c r="G38" s="239"/>
    </row>
    <row r="39" spans="2:7" ht="15" customHeight="1">
      <c r="B39" s="404"/>
      <c r="C39" s="404"/>
      <c r="D39" s="404"/>
      <c r="E39" s="404"/>
      <c r="F39" s="404"/>
      <c r="G39" s="404"/>
    </row>
    <row r="40" spans="2:7" ht="15" customHeight="1">
      <c r="B40" s="146" t="s">
        <v>31</v>
      </c>
      <c r="C40" s="146">
        <v>2016</v>
      </c>
      <c r="D40" s="146">
        <v>2017</v>
      </c>
      <c r="E40" s="146">
        <v>2018</v>
      </c>
      <c r="F40" s="146">
        <v>2019</v>
      </c>
      <c r="G40" s="146">
        <v>2020</v>
      </c>
    </row>
    <row r="41" spans="2:7" ht="15" customHeight="1">
      <c r="B41" s="152" t="s">
        <v>32</v>
      </c>
      <c r="C41" s="236"/>
      <c r="D41" s="237"/>
      <c r="E41" s="236"/>
      <c r="F41" s="237"/>
      <c r="G41" s="236"/>
    </row>
    <row r="42" spans="2:7" ht="15" customHeight="1">
      <c r="B42" s="76" t="s">
        <v>33</v>
      </c>
      <c r="C42" s="238"/>
      <c r="D42" s="239"/>
      <c r="E42" s="238"/>
      <c r="F42" s="239"/>
      <c r="G42" s="238"/>
    </row>
    <row r="43" spans="2:7" ht="15" customHeight="1">
      <c r="B43" s="76" t="s">
        <v>34</v>
      </c>
      <c r="C43" s="238"/>
      <c r="D43" s="239"/>
      <c r="E43" s="238"/>
      <c r="F43" s="239"/>
      <c r="G43" s="238"/>
    </row>
    <row r="44" spans="2:7" ht="15" customHeight="1">
      <c r="B44" s="76" t="s">
        <v>35</v>
      </c>
      <c r="C44" s="238"/>
      <c r="D44" s="239"/>
      <c r="E44" s="238"/>
      <c r="F44" s="239"/>
      <c r="G44" s="238"/>
    </row>
    <row r="45" spans="2:7" ht="15" customHeight="1">
      <c r="B45" s="76" t="s">
        <v>36</v>
      </c>
      <c r="C45" s="238"/>
      <c r="D45" s="239"/>
      <c r="E45" s="238"/>
      <c r="F45" s="239"/>
      <c r="G45" s="238"/>
    </row>
    <row r="46" spans="2:7" ht="15" customHeight="1">
      <c r="B46" s="76" t="s">
        <v>37</v>
      </c>
      <c r="C46" s="238"/>
      <c r="D46" s="239"/>
      <c r="E46" s="238"/>
      <c r="F46" s="239"/>
      <c r="G46" s="238"/>
    </row>
    <row r="47" spans="2:7" ht="15" customHeight="1">
      <c r="B47" s="76" t="s">
        <v>38</v>
      </c>
      <c r="C47" s="238"/>
      <c r="D47" s="239"/>
      <c r="E47" s="238"/>
      <c r="F47" s="239"/>
      <c r="G47" s="238"/>
    </row>
    <row r="48" spans="2:7" ht="15" customHeight="1">
      <c r="B48" s="78" t="s">
        <v>39</v>
      </c>
      <c r="C48" s="243"/>
      <c r="D48" s="244"/>
      <c r="E48" s="243"/>
      <c r="F48" s="244"/>
      <c r="G48" s="243"/>
    </row>
    <row r="49" spans="2:7" ht="15" customHeight="1">
      <c r="B49" s="150" t="s">
        <v>29</v>
      </c>
      <c r="C49" s="245"/>
      <c r="D49" s="86"/>
      <c r="E49" s="82"/>
      <c r="F49" s="245"/>
      <c r="G49" s="82"/>
    </row>
    <row r="50" spans="2:7" ht="15" customHeight="1"/>
    <row r="51" spans="2:7" ht="15" customHeight="1"/>
    <row r="52" spans="2:7" ht="15" customHeight="1"/>
  </sheetData>
  <mergeCells count="8">
    <mergeCell ref="B16:G16"/>
    <mergeCell ref="B17:G17"/>
    <mergeCell ref="B39:G39"/>
    <mergeCell ref="B5:G5"/>
    <mergeCell ref="B6:G6"/>
    <mergeCell ref="F8:G8"/>
    <mergeCell ref="B11:G11"/>
    <mergeCell ref="B14:G14"/>
  </mergeCells>
  <hyperlinks>
    <hyperlink ref="F8" location="capa!A1" display="Página Inicial" xr:uid="{00000000-0004-0000-09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X81"/>
  <sheetViews>
    <sheetView showGridLines="0" showRowColHeaders="0" topLeftCell="A31" zoomScale="80" zoomScaleNormal="80" workbookViewId="0">
      <selection activeCell="AMO1" sqref="AMO1:XFD1048576"/>
    </sheetView>
  </sheetViews>
  <sheetFormatPr defaultColWidth="0" defaultRowHeight="15" zeroHeight="1"/>
  <cols>
    <col min="1" max="1" width="3.7109375" customWidth="1"/>
    <col min="2" max="2" width="28" customWidth="1"/>
    <col min="3" max="5" width="9.140625" customWidth="1"/>
    <col min="6" max="6" width="11.7109375" customWidth="1"/>
    <col min="7" max="7" width="13.28515625" customWidth="1"/>
    <col min="8" max="8" width="11.85546875" customWidth="1"/>
    <col min="9" max="9" width="12" customWidth="1"/>
    <col min="10" max="10" width="6.140625" customWidth="1"/>
    <col min="11" max="11" width="23" customWidth="1"/>
    <col min="12" max="14" width="9.140625" customWidth="1"/>
    <col min="15" max="15" width="10.7109375" customWidth="1"/>
    <col min="16" max="16" width="12.5703125" customWidth="1"/>
    <col min="17" max="17" width="12.28515625" customWidth="1"/>
    <col min="18" max="18" width="13" customWidth="1"/>
    <col min="19" max="19" width="7.140625" customWidth="1"/>
    <col min="20" max="20" width="14.140625" customWidth="1"/>
    <col min="21" max="21" width="29.7109375" customWidth="1"/>
    <col min="22" max="22" width="12.140625" customWidth="1"/>
    <col min="23" max="23" width="11.85546875" customWidth="1"/>
    <col min="24" max="24" width="9.140625" customWidth="1"/>
    <col min="25" max="1025" width="9.140625" hidden="1" customWidth="1"/>
    <col min="1026" max="1028" width="9.140625" customWidth="1"/>
    <col min="1029" max="16384" width="9.140625" hidden="1"/>
  </cols>
  <sheetData>
    <row r="1" spans="2:23"/>
    <row r="2" spans="2:23"/>
    <row r="3" spans="2:23"/>
    <row r="4" spans="2:23"/>
    <row r="5" spans="2:23" ht="18.75"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3"/>
      <c r="R5" s="23"/>
    </row>
    <row r="6" spans="2:23" ht="18.75">
      <c r="B6" s="12" t="s">
        <v>156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3"/>
      <c r="Q6" s="23"/>
      <c r="R6" s="246" t="s">
        <v>157</v>
      </c>
    </row>
    <row r="7" spans="2:23">
      <c r="B7" s="24"/>
      <c r="C7" s="24"/>
      <c r="D7" s="24"/>
      <c r="E7" s="25"/>
      <c r="F7" s="25"/>
      <c r="G7" s="25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2:23" ht="16.5">
      <c r="B8" s="24"/>
      <c r="C8" s="24"/>
      <c r="D8" s="24"/>
      <c r="E8" s="2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385" t="s">
        <v>3</v>
      </c>
      <c r="R8" s="385"/>
    </row>
    <row r="9" spans="2:23"/>
    <row r="10" spans="2:23"/>
    <row r="11" spans="2:23">
      <c r="B11" s="405"/>
      <c r="C11" s="405"/>
      <c r="D11" s="405"/>
      <c r="E11" s="405"/>
      <c r="F11" s="405"/>
      <c r="G11" s="405"/>
      <c r="H11" s="248"/>
      <c r="I11" s="248"/>
      <c r="J11" s="248"/>
      <c r="R11" s="247"/>
      <c r="S11" s="248"/>
      <c r="T11" s="248"/>
      <c r="U11" s="248"/>
      <c r="V11" s="248"/>
      <c r="W11" s="248"/>
    </row>
    <row r="12" spans="2:23" ht="29.25" customHeight="1">
      <c r="J12" s="248"/>
      <c r="K12" s="406" t="s">
        <v>158</v>
      </c>
      <c r="L12" s="406"/>
      <c r="M12" s="406"/>
      <c r="N12" s="406"/>
      <c r="O12" s="406"/>
      <c r="P12" s="406"/>
      <c r="Q12" s="406"/>
      <c r="R12" s="249"/>
      <c r="S12" s="248"/>
      <c r="T12" s="407" t="s">
        <v>159</v>
      </c>
      <c r="U12" s="407"/>
      <c r="V12" s="407"/>
      <c r="W12" s="407"/>
    </row>
    <row r="13" spans="2:23">
      <c r="J13" s="248"/>
      <c r="R13" s="250"/>
      <c r="S13" s="248"/>
      <c r="T13" s="251"/>
      <c r="U13" s="250"/>
      <c r="V13" s="250"/>
      <c r="W13" s="248"/>
    </row>
    <row r="14" spans="2:23" ht="15" customHeight="1">
      <c r="B14" s="406" t="s">
        <v>160</v>
      </c>
      <c r="C14" s="406"/>
      <c r="D14" s="406"/>
      <c r="E14" s="406"/>
      <c r="F14" s="406"/>
      <c r="G14" s="406"/>
      <c r="H14" s="406"/>
      <c r="I14" s="406"/>
      <c r="J14" s="248"/>
      <c r="K14" s="408" t="s">
        <v>161</v>
      </c>
      <c r="L14" s="408"/>
      <c r="M14" s="408"/>
      <c r="N14" s="408"/>
      <c r="O14" s="408"/>
      <c r="P14" s="408"/>
      <c r="Q14" s="408"/>
      <c r="R14" s="253"/>
      <c r="S14" s="248"/>
      <c r="T14" s="409" t="s">
        <v>162</v>
      </c>
      <c r="U14" s="409"/>
      <c r="V14" s="409"/>
      <c r="W14" s="409"/>
    </row>
    <row r="15" spans="2:23" ht="14.25" customHeight="1">
      <c r="J15" s="248"/>
      <c r="K15" s="254" t="s">
        <v>163</v>
      </c>
      <c r="L15" s="255"/>
      <c r="M15" s="255"/>
      <c r="N15" s="255"/>
      <c r="O15" s="255"/>
      <c r="P15" s="255"/>
      <c r="Q15" s="255"/>
      <c r="R15" s="248"/>
      <c r="S15" s="248"/>
      <c r="T15" s="256" t="s">
        <v>164</v>
      </c>
      <c r="U15" s="257"/>
      <c r="V15" s="258"/>
      <c r="W15" s="248"/>
    </row>
    <row r="16" spans="2:23" ht="15.75">
      <c r="B16" s="408" t="s">
        <v>162</v>
      </c>
      <c r="C16" s="408"/>
      <c r="D16" s="408"/>
      <c r="E16" s="408"/>
      <c r="F16" s="408"/>
      <c r="G16" s="408"/>
      <c r="H16" s="408"/>
      <c r="I16" s="408"/>
      <c r="J16" s="259"/>
      <c r="K16" s="254" t="s">
        <v>165</v>
      </c>
      <c r="L16" s="254"/>
      <c r="M16" s="254"/>
      <c r="N16" s="254"/>
      <c r="O16" s="254"/>
      <c r="P16" s="254"/>
      <c r="Q16" s="254"/>
      <c r="S16" s="248"/>
    </row>
    <row r="17" spans="2:23" ht="15.75">
      <c r="B17" s="252"/>
      <c r="C17" s="252"/>
      <c r="D17" s="252"/>
      <c r="E17" s="252"/>
      <c r="F17" s="252"/>
      <c r="G17" s="252"/>
      <c r="H17" s="252"/>
      <c r="I17" s="252"/>
      <c r="J17" s="259"/>
      <c r="L17" s="254"/>
      <c r="M17" s="254"/>
      <c r="N17" s="254"/>
      <c r="O17" s="254"/>
      <c r="P17" s="254"/>
      <c r="Q17" s="254"/>
      <c r="S17" s="248"/>
    </row>
    <row r="18" spans="2:23" ht="15.75">
      <c r="B18" s="252"/>
      <c r="C18" s="252"/>
      <c r="D18" s="252"/>
      <c r="E18" s="252"/>
      <c r="F18" s="252"/>
      <c r="G18" s="252"/>
      <c r="H18" s="252"/>
      <c r="I18" s="252"/>
      <c r="J18" s="259"/>
      <c r="S18" s="248"/>
    </row>
    <row r="19" spans="2:23" ht="15" customHeight="1">
      <c r="B19" s="10" t="s">
        <v>166</v>
      </c>
      <c r="C19" s="10"/>
      <c r="D19" s="10"/>
      <c r="E19" s="10"/>
      <c r="F19" s="10"/>
      <c r="G19" s="10"/>
      <c r="H19" s="10"/>
      <c r="I19" s="10"/>
      <c r="J19" s="259"/>
      <c r="K19" s="10" t="s">
        <v>167</v>
      </c>
      <c r="L19" s="10"/>
      <c r="M19" s="10"/>
      <c r="N19" s="10"/>
      <c r="O19" s="10"/>
      <c r="P19" s="10"/>
      <c r="Q19" s="10"/>
      <c r="R19" s="10"/>
      <c r="S19" s="248"/>
    </row>
    <row r="20" spans="2:23" ht="15.75" customHeight="1">
      <c r="B20" s="410" t="s">
        <v>168</v>
      </c>
      <c r="C20" s="411">
        <v>2016</v>
      </c>
      <c r="D20" s="411">
        <v>2017</v>
      </c>
      <c r="E20" s="411" t="s">
        <v>169</v>
      </c>
      <c r="F20" s="411" t="s">
        <v>170</v>
      </c>
      <c r="G20" s="411"/>
      <c r="H20" s="411" t="s">
        <v>171</v>
      </c>
      <c r="I20" s="411"/>
      <c r="J20" s="248"/>
      <c r="K20" s="412" t="s">
        <v>168</v>
      </c>
      <c r="L20" s="261">
        <v>2016</v>
      </c>
      <c r="M20" s="261">
        <v>2017</v>
      </c>
      <c r="N20" s="262" t="s">
        <v>172</v>
      </c>
      <c r="O20" s="411" t="s">
        <v>170</v>
      </c>
      <c r="P20" s="411"/>
      <c r="Q20" s="411" t="s">
        <v>171</v>
      </c>
      <c r="R20" s="411"/>
      <c r="S20" s="248"/>
      <c r="T20" s="413" t="s">
        <v>43</v>
      </c>
      <c r="U20" s="263" t="s">
        <v>173</v>
      </c>
      <c r="V20" s="411" t="s">
        <v>171</v>
      </c>
      <c r="W20" s="411"/>
    </row>
    <row r="21" spans="2:23">
      <c r="B21" s="410"/>
      <c r="C21" s="411"/>
      <c r="D21" s="411"/>
      <c r="E21" s="411"/>
      <c r="F21" s="260" t="s">
        <v>174</v>
      </c>
      <c r="G21" s="260" t="s">
        <v>175</v>
      </c>
      <c r="H21" s="260" t="s">
        <v>174</v>
      </c>
      <c r="I21" s="260" t="s">
        <v>175</v>
      </c>
      <c r="J21" s="248"/>
      <c r="K21" s="412"/>
      <c r="L21" s="261"/>
      <c r="M21" s="261"/>
      <c r="N21" s="262"/>
      <c r="O21" s="262" t="s">
        <v>174</v>
      </c>
      <c r="P21" s="260" t="s">
        <v>175</v>
      </c>
      <c r="Q21" s="262" t="s">
        <v>174</v>
      </c>
      <c r="R21" s="260" t="s">
        <v>175</v>
      </c>
      <c r="S21" s="248"/>
      <c r="T21" s="413"/>
      <c r="U21" s="264"/>
      <c r="V21" s="261" t="s">
        <v>174</v>
      </c>
      <c r="W21" s="261" t="s">
        <v>175</v>
      </c>
    </row>
    <row r="22" spans="2:23" ht="15" customHeight="1">
      <c r="B22" s="265" t="s">
        <v>14</v>
      </c>
      <c r="C22" s="266">
        <v>59</v>
      </c>
      <c r="D22" s="267">
        <v>56</v>
      </c>
      <c r="E22" s="266">
        <v>58</v>
      </c>
      <c r="F22" s="267">
        <v>51</v>
      </c>
      <c r="G22" s="267">
        <v>2</v>
      </c>
      <c r="H22" s="266">
        <v>54</v>
      </c>
      <c r="I22" s="267"/>
      <c r="J22" s="248"/>
      <c r="K22" s="268" t="s">
        <v>14</v>
      </c>
      <c r="L22" s="269">
        <v>19.601328903654501</v>
      </c>
      <c r="M22" s="270">
        <v>18.241042345276899</v>
      </c>
      <c r="N22" s="269">
        <v>19.528619528619501</v>
      </c>
      <c r="O22" s="270">
        <v>15.223880597014899</v>
      </c>
      <c r="P22" s="269">
        <v>0.59701492537313405</v>
      </c>
      <c r="Q22" s="270">
        <v>16.119402985074601</v>
      </c>
      <c r="R22" s="271"/>
      <c r="S22" s="248"/>
      <c r="T22" s="414" t="s">
        <v>176</v>
      </c>
      <c r="U22" s="272" t="s">
        <v>45</v>
      </c>
      <c r="V22" s="273">
        <v>2</v>
      </c>
      <c r="W22" s="274"/>
    </row>
    <row r="23" spans="2:23" ht="15.75">
      <c r="B23" s="275" t="s">
        <v>13</v>
      </c>
      <c r="C23" s="266">
        <v>4</v>
      </c>
      <c r="D23" s="276">
        <v>2</v>
      </c>
      <c r="E23" s="266">
        <v>1</v>
      </c>
      <c r="F23" s="276">
        <v>6</v>
      </c>
      <c r="G23" s="276">
        <v>1</v>
      </c>
      <c r="H23" s="266">
        <v>3</v>
      </c>
      <c r="I23" s="276"/>
      <c r="J23" s="248"/>
      <c r="K23" s="277" t="s">
        <v>13</v>
      </c>
      <c r="L23" s="278">
        <v>1.3289036544850501</v>
      </c>
      <c r="M23" s="279">
        <v>0.65146579804560301</v>
      </c>
      <c r="N23" s="278">
        <v>0.336700336700337</v>
      </c>
      <c r="O23" s="279">
        <v>1.7910447761193999</v>
      </c>
      <c r="P23" s="278">
        <v>0.29850746268656703</v>
      </c>
      <c r="Q23" s="279">
        <v>0.89552238805970097</v>
      </c>
      <c r="R23" s="280"/>
      <c r="S23" s="248"/>
      <c r="T23" s="414"/>
      <c r="U23" s="281" t="s">
        <v>46</v>
      </c>
      <c r="V23" s="282">
        <v>1</v>
      </c>
      <c r="W23" s="283"/>
    </row>
    <row r="24" spans="2:23" ht="15" customHeight="1">
      <c r="B24" s="275" t="s">
        <v>15</v>
      </c>
      <c r="C24" s="266">
        <v>28</v>
      </c>
      <c r="D24" s="276">
        <v>46</v>
      </c>
      <c r="E24" s="266">
        <v>51</v>
      </c>
      <c r="F24" s="276">
        <v>58</v>
      </c>
      <c r="G24" s="276">
        <v>8</v>
      </c>
      <c r="H24" s="266">
        <v>46</v>
      </c>
      <c r="I24" s="276"/>
      <c r="J24" s="248"/>
      <c r="K24" s="277" t="s">
        <v>15</v>
      </c>
      <c r="L24" s="278">
        <v>9.3023255813953494</v>
      </c>
      <c r="M24" s="279">
        <v>14.9837133550489</v>
      </c>
      <c r="N24" s="278">
        <v>17.171717171717201</v>
      </c>
      <c r="O24" s="279">
        <v>16.417910447761201</v>
      </c>
      <c r="P24" s="278">
        <v>2.3880597014925402</v>
      </c>
      <c r="Q24" s="279">
        <v>13.731343283582101</v>
      </c>
      <c r="R24" s="280"/>
      <c r="S24" s="248"/>
      <c r="T24" s="414" t="s">
        <v>177</v>
      </c>
      <c r="U24" s="272" t="s">
        <v>47</v>
      </c>
      <c r="V24" s="284">
        <v>22</v>
      </c>
      <c r="W24" s="285"/>
    </row>
    <row r="25" spans="2:23" ht="15.75">
      <c r="B25" s="275" t="s">
        <v>16</v>
      </c>
      <c r="C25" s="266">
        <v>46</v>
      </c>
      <c r="D25" s="276">
        <v>30</v>
      </c>
      <c r="E25" s="266">
        <v>29</v>
      </c>
      <c r="F25" s="276">
        <v>36</v>
      </c>
      <c r="G25" s="276">
        <v>1</v>
      </c>
      <c r="H25" s="266">
        <v>39</v>
      </c>
      <c r="I25" s="276"/>
      <c r="J25" s="248"/>
      <c r="K25" s="277" t="s">
        <v>16</v>
      </c>
      <c r="L25" s="278">
        <v>15.282392026578099</v>
      </c>
      <c r="M25" s="279">
        <v>9.7719869706840399</v>
      </c>
      <c r="N25" s="278">
        <v>9.76430976430977</v>
      </c>
      <c r="O25" s="279">
        <v>10.746268656716399</v>
      </c>
      <c r="P25" s="278">
        <v>0.29850746268656703</v>
      </c>
      <c r="Q25" s="279">
        <v>11.641791044776101</v>
      </c>
      <c r="R25" s="280"/>
      <c r="S25" s="248"/>
      <c r="T25" s="414"/>
      <c r="U25" s="286" t="s">
        <v>48</v>
      </c>
      <c r="V25" s="287">
        <v>9</v>
      </c>
      <c r="W25" s="288"/>
    </row>
    <row r="26" spans="2:23" ht="15.75">
      <c r="B26" s="275" t="s">
        <v>17</v>
      </c>
      <c r="C26" s="266">
        <v>1</v>
      </c>
      <c r="D26" s="276">
        <v>1</v>
      </c>
      <c r="E26" s="266">
        <v>0</v>
      </c>
      <c r="F26" s="276">
        <v>1</v>
      </c>
      <c r="G26" s="178" t="s">
        <v>18</v>
      </c>
      <c r="H26" s="266">
        <v>3</v>
      </c>
      <c r="I26" s="276"/>
      <c r="J26" s="248"/>
      <c r="K26" s="277" t="s">
        <v>17</v>
      </c>
      <c r="L26" s="278">
        <v>0.33222591362126203</v>
      </c>
      <c r="M26" s="279">
        <v>0.325732899022801</v>
      </c>
      <c r="N26" s="278">
        <v>0</v>
      </c>
      <c r="O26" s="279">
        <v>0.29850746268656703</v>
      </c>
      <c r="P26" s="278">
        <v>0</v>
      </c>
      <c r="Q26" s="279">
        <v>0.89552238805970097</v>
      </c>
      <c r="R26" s="280"/>
      <c r="S26" s="248"/>
      <c r="T26" s="414"/>
      <c r="U26" s="281" t="s">
        <v>49</v>
      </c>
      <c r="V26" s="289">
        <v>23</v>
      </c>
      <c r="W26" s="290"/>
    </row>
    <row r="27" spans="2:23" ht="13.9" customHeight="1">
      <c r="B27" s="275" t="s">
        <v>19</v>
      </c>
      <c r="C27" s="266">
        <v>98</v>
      </c>
      <c r="D27" s="276">
        <v>95</v>
      </c>
      <c r="E27" s="266">
        <v>88</v>
      </c>
      <c r="F27" s="276">
        <v>99</v>
      </c>
      <c r="G27" s="276">
        <v>3</v>
      </c>
      <c r="H27" s="266">
        <v>99</v>
      </c>
      <c r="I27" s="276">
        <v>1</v>
      </c>
      <c r="J27" s="248"/>
      <c r="K27" s="277" t="s">
        <v>19</v>
      </c>
      <c r="L27" s="278">
        <v>32.558139534883701</v>
      </c>
      <c r="M27" s="279">
        <v>30.9446254071661</v>
      </c>
      <c r="N27" s="278">
        <v>29.629629629629601</v>
      </c>
      <c r="O27" s="279">
        <v>29.552238805970099</v>
      </c>
      <c r="P27" s="278">
        <v>0.89552238805970097</v>
      </c>
      <c r="Q27" s="279">
        <v>29.552238805970099</v>
      </c>
      <c r="R27" s="291">
        <v>0.3</v>
      </c>
      <c r="S27" s="248"/>
      <c r="T27" s="414" t="s">
        <v>178</v>
      </c>
      <c r="U27" s="272" t="s">
        <v>52</v>
      </c>
      <c r="V27" s="284">
        <v>3</v>
      </c>
      <c r="W27" s="285"/>
    </row>
    <row r="28" spans="2:23" ht="15.75">
      <c r="B28" s="275" t="s">
        <v>20</v>
      </c>
      <c r="C28" s="266">
        <v>1</v>
      </c>
      <c r="D28" s="276">
        <v>1</v>
      </c>
      <c r="E28" s="266">
        <v>1</v>
      </c>
      <c r="F28" s="178" t="s">
        <v>18</v>
      </c>
      <c r="G28" s="178" t="s">
        <v>18</v>
      </c>
      <c r="H28" s="266">
        <v>2</v>
      </c>
      <c r="I28" s="276"/>
      <c r="J28" s="248"/>
      <c r="K28" s="277" t="s">
        <v>20</v>
      </c>
      <c r="L28" s="278">
        <v>0.33222591362126203</v>
      </c>
      <c r="M28" s="279">
        <v>0.325732899022801</v>
      </c>
      <c r="N28" s="278">
        <v>0.336700336700337</v>
      </c>
      <c r="O28" s="279">
        <v>0</v>
      </c>
      <c r="P28" s="278">
        <v>0</v>
      </c>
      <c r="Q28" s="279">
        <v>0.59701492537313405</v>
      </c>
      <c r="R28" s="280"/>
      <c r="S28" s="248"/>
      <c r="T28" s="414"/>
      <c r="U28" s="286" t="s">
        <v>53</v>
      </c>
      <c r="V28" s="287">
        <v>3</v>
      </c>
      <c r="W28" s="288"/>
    </row>
    <row r="29" spans="2:23" ht="15.75">
      <c r="B29" s="275" t="s">
        <v>21</v>
      </c>
      <c r="C29" s="266">
        <v>2</v>
      </c>
      <c r="D29" s="276">
        <v>2</v>
      </c>
      <c r="E29" s="266">
        <v>2</v>
      </c>
      <c r="F29" s="276">
        <v>2</v>
      </c>
      <c r="G29" s="178" t="s">
        <v>18</v>
      </c>
      <c r="H29" s="178" t="s">
        <v>18</v>
      </c>
      <c r="I29" s="276"/>
      <c r="J29" s="248"/>
      <c r="K29" s="277" t="s">
        <v>21</v>
      </c>
      <c r="L29" s="278">
        <v>0.66445182724252505</v>
      </c>
      <c r="M29" s="279">
        <v>0.65146579804560301</v>
      </c>
      <c r="N29" s="278">
        <v>0.673400673400673</v>
      </c>
      <c r="O29" s="279">
        <v>0.59701492537313405</v>
      </c>
      <c r="P29" s="278">
        <v>0</v>
      </c>
      <c r="Q29" s="279">
        <v>0</v>
      </c>
      <c r="R29" s="280"/>
      <c r="S29" s="248"/>
      <c r="T29" s="414"/>
      <c r="U29" s="286" t="s">
        <v>54</v>
      </c>
      <c r="V29" s="287">
        <v>4</v>
      </c>
      <c r="W29" s="288"/>
    </row>
    <row r="30" spans="2:23" ht="15.75">
      <c r="B30" s="275" t="s">
        <v>22</v>
      </c>
      <c r="C30" s="266">
        <v>4</v>
      </c>
      <c r="D30" s="178" t="s">
        <v>18</v>
      </c>
      <c r="E30" s="178" t="s">
        <v>18</v>
      </c>
      <c r="F30" s="276">
        <v>2</v>
      </c>
      <c r="G30" s="178" t="s">
        <v>18</v>
      </c>
      <c r="H30" s="266">
        <v>3</v>
      </c>
      <c r="I30" s="276"/>
      <c r="J30" s="248"/>
      <c r="K30" s="277" t="s">
        <v>22</v>
      </c>
      <c r="L30" s="278">
        <v>1.3289036544850501</v>
      </c>
      <c r="M30" s="279">
        <v>0</v>
      </c>
      <c r="N30" s="278">
        <v>0</v>
      </c>
      <c r="O30" s="279">
        <v>0.59701492537313405</v>
      </c>
      <c r="P30" s="278">
        <v>0</v>
      </c>
      <c r="Q30" s="279">
        <v>0.89552238805970097</v>
      </c>
      <c r="R30" s="280"/>
      <c r="S30" s="248"/>
      <c r="T30" s="414"/>
      <c r="U30" s="286" t="s">
        <v>55</v>
      </c>
      <c r="V30" s="287">
        <v>3</v>
      </c>
      <c r="W30" s="288"/>
    </row>
    <row r="31" spans="2:23" ht="15.75">
      <c r="B31" s="275" t="s">
        <v>23</v>
      </c>
      <c r="C31" s="178" t="s">
        <v>18</v>
      </c>
      <c r="D31" s="178" t="s">
        <v>18</v>
      </c>
      <c r="E31" s="178" t="s">
        <v>18</v>
      </c>
      <c r="F31" s="178" t="s">
        <v>18</v>
      </c>
      <c r="G31" s="178" t="s">
        <v>18</v>
      </c>
      <c r="H31" s="178" t="s">
        <v>18</v>
      </c>
      <c r="I31" s="276"/>
      <c r="J31" s="248"/>
      <c r="K31" s="277" t="s">
        <v>23</v>
      </c>
      <c r="L31" s="278">
        <v>0</v>
      </c>
      <c r="M31" s="279">
        <v>0</v>
      </c>
      <c r="N31" s="278">
        <v>0</v>
      </c>
      <c r="O31" s="279">
        <v>0</v>
      </c>
      <c r="P31" s="278">
        <v>0</v>
      </c>
      <c r="Q31" s="279">
        <v>0</v>
      </c>
      <c r="R31" s="280"/>
      <c r="S31" s="248"/>
      <c r="T31" s="414"/>
      <c r="U31" s="281" t="s">
        <v>56</v>
      </c>
      <c r="V31" s="178" t="s">
        <v>18</v>
      </c>
      <c r="W31" s="290"/>
    </row>
    <row r="32" spans="2:23" ht="15.75">
      <c r="B32" s="275" t="s">
        <v>24</v>
      </c>
      <c r="C32" s="266">
        <v>11</v>
      </c>
      <c r="D32" s="276">
        <v>15</v>
      </c>
      <c r="E32" s="266">
        <v>14</v>
      </c>
      <c r="F32" s="276">
        <v>17</v>
      </c>
      <c r="G32" s="276">
        <v>1</v>
      </c>
      <c r="H32" s="266">
        <v>16</v>
      </c>
      <c r="I32" s="276"/>
      <c r="J32" s="248"/>
      <c r="K32" s="277" t="s">
        <v>24</v>
      </c>
      <c r="L32" s="278">
        <v>3.6544850498338901</v>
      </c>
      <c r="M32" s="279">
        <v>4.8859934853420199</v>
      </c>
      <c r="N32" s="278">
        <v>4.7138047138047101</v>
      </c>
      <c r="O32" s="279">
        <v>5.0746268656716396</v>
      </c>
      <c r="P32" s="278">
        <v>0.29850746268656703</v>
      </c>
      <c r="Q32" s="279">
        <v>4.7761194029850804</v>
      </c>
      <c r="R32" s="280"/>
      <c r="S32" s="248"/>
      <c r="T32" s="414"/>
      <c r="U32" s="272" t="s">
        <v>57</v>
      </c>
      <c r="V32" s="284">
        <v>1</v>
      </c>
      <c r="W32" s="285"/>
    </row>
    <row r="33" spans="2:23" ht="15.75">
      <c r="B33" s="275" t="s">
        <v>25</v>
      </c>
      <c r="C33" s="266">
        <v>16</v>
      </c>
      <c r="D33" s="276">
        <v>23</v>
      </c>
      <c r="E33" s="266">
        <v>22</v>
      </c>
      <c r="F33" s="276">
        <v>26</v>
      </c>
      <c r="G33" s="276">
        <v>2</v>
      </c>
      <c r="H33" s="266">
        <v>27</v>
      </c>
      <c r="I33" s="276"/>
      <c r="J33" s="248"/>
      <c r="K33" s="277" t="s">
        <v>25</v>
      </c>
      <c r="L33" s="278">
        <v>5.3156146179402004</v>
      </c>
      <c r="M33" s="279">
        <v>7.4918566775244297</v>
      </c>
      <c r="N33" s="278">
        <v>7.4074074074074101</v>
      </c>
      <c r="O33" s="279">
        <v>7.76119402985075</v>
      </c>
      <c r="P33" s="278">
        <v>0.59701492537313405</v>
      </c>
      <c r="Q33" s="279">
        <v>8.0597014925373092</v>
      </c>
      <c r="R33" s="280"/>
      <c r="S33" s="248"/>
      <c r="T33" s="414"/>
      <c r="U33" s="286" t="s">
        <v>58</v>
      </c>
      <c r="V33" s="287">
        <v>28</v>
      </c>
      <c r="W33" s="288"/>
    </row>
    <row r="34" spans="2:23" ht="15.75">
      <c r="B34" s="275" t="s">
        <v>26</v>
      </c>
      <c r="C34" s="266">
        <v>1</v>
      </c>
      <c r="D34" s="276">
        <v>2</v>
      </c>
      <c r="E34" s="266">
        <v>2</v>
      </c>
      <c r="F34" s="276">
        <v>1</v>
      </c>
      <c r="G34" s="178" t="s">
        <v>18</v>
      </c>
      <c r="H34" s="266">
        <v>4</v>
      </c>
      <c r="I34" s="276"/>
      <c r="J34" s="248"/>
      <c r="K34" s="277" t="s">
        <v>26</v>
      </c>
      <c r="L34" s="278">
        <v>0.33222591362126203</v>
      </c>
      <c r="M34" s="279">
        <v>0.65146579804560301</v>
      </c>
      <c r="N34" s="278">
        <v>0.673400673400673</v>
      </c>
      <c r="O34" s="279">
        <v>0.29850746268656703</v>
      </c>
      <c r="P34" s="278">
        <v>0</v>
      </c>
      <c r="Q34" s="279">
        <v>1.1940298507462701</v>
      </c>
      <c r="R34" s="280"/>
      <c r="S34" s="248"/>
      <c r="T34" s="414"/>
      <c r="U34" s="286" t="s">
        <v>59</v>
      </c>
      <c r="V34" s="178" t="s">
        <v>18</v>
      </c>
      <c r="W34" s="288"/>
    </row>
    <row r="35" spans="2:23">
      <c r="B35" s="275" t="s">
        <v>27</v>
      </c>
      <c r="C35" s="266">
        <v>21</v>
      </c>
      <c r="D35" s="276">
        <v>21</v>
      </c>
      <c r="E35" s="266">
        <v>19</v>
      </c>
      <c r="F35" s="276">
        <v>30</v>
      </c>
      <c r="G35" s="276">
        <v>4</v>
      </c>
      <c r="H35" s="266">
        <v>33</v>
      </c>
      <c r="I35" s="276">
        <v>2</v>
      </c>
      <c r="J35" s="292"/>
      <c r="K35" s="277" t="s">
        <v>27</v>
      </c>
      <c r="L35" s="278">
        <v>6.9767441860465098</v>
      </c>
      <c r="M35" s="279">
        <v>6.8403908794788304</v>
      </c>
      <c r="N35" s="278">
        <v>6.3973063973063997</v>
      </c>
      <c r="O35" s="279">
        <v>8.9552238805970106</v>
      </c>
      <c r="P35" s="278">
        <v>1.1940298507462701</v>
      </c>
      <c r="Q35" s="279">
        <v>9.8507462686567209</v>
      </c>
      <c r="R35" s="291">
        <v>0.6</v>
      </c>
      <c r="S35" s="292"/>
      <c r="T35" s="414"/>
      <c r="U35" s="281" t="s">
        <v>60</v>
      </c>
      <c r="V35" s="289">
        <v>4</v>
      </c>
      <c r="W35" s="290"/>
    </row>
    <row r="36" spans="2:23" ht="15" customHeight="1">
      <c r="B36" s="275" t="s">
        <v>28</v>
      </c>
      <c r="C36" s="266">
        <v>9</v>
      </c>
      <c r="D36" s="276">
        <v>13</v>
      </c>
      <c r="E36" s="266">
        <v>10</v>
      </c>
      <c r="F36" s="276">
        <v>6</v>
      </c>
      <c r="G36" s="178" t="s">
        <v>18</v>
      </c>
      <c r="H36" s="266">
        <v>6</v>
      </c>
      <c r="I36" s="293"/>
      <c r="J36" s="294"/>
      <c r="K36" s="295" t="s">
        <v>28</v>
      </c>
      <c r="L36" s="296">
        <v>2.99003322259136</v>
      </c>
      <c r="M36" s="297">
        <v>4.2345276872964197</v>
      </c>
      <c r="N36" s="298">
        <v>3.3670033670033699</v>
      </c>
      <c r="O36" s="297">
        <v>1.7910447761193999</v>
      </c>
      <c r="P36" s="298">
        <v>0</v>
      </c>
      <c r="Q36" s="297">
        <v>1.7910447761193999</v>
      </c>
      <c r="R36" s="299"/>
      <c r="S36" s="294"/>
      <c r="T36" s="414" t="s">
        <v>179</v>
      </c>
      <c r="U36" s="272" t="s">
        <v>47</v>
      </c>
      <c r="V36" s="300">
        <v>39</v>
      </c>
      <c r="W36" s="301"/>
    </row>
    <row r="37" spans="2:23" ht="15.75" customHeight="1">
      <c r="B37" s="302" t="s">
        <v>29</v>
      </c>
      <c r="C37" s="303">
        <v>301</v>
      </c>
      <c r="D37" s="304">
        <v>307</v>
      </c>
      <c r="E37" s="305">
        <v>297</v>
      </c>
      <c r="F37" s="304">
        <v>335</v>
      </c>
      <c r="G37" s="304">
        <v>22</v>
      </c>
      <c r="H37" s="304">
        <v>335</v>
      </c>
      <c r="I37" s="304">
        <v>3</v>
      </c>
      <c r="J37" s="294"/>
      <c r="K37" s="306" t="s">
        <v>180</v>
      </c>
      <c r="S37" s="294"/>
      <c r="T37" s="414"/>
      <c r="U37" s="286" t="s">
        <v>62</v>
      </c>
      <c r="V37" s="178" t="s">
        <v>18</v>
      </c>
      <c r="W37" s="307"/>
    </row>
    <row r="38" spans="2:23" ht="15.75">
      <c r="B38" s="306"/>
      <c r="J38" s="294"/>
      <c r="S38" s="294"/>
      <c r="T38" s="414"/>
      <c r="U38" s="281" t="s">
        <v>63</v>
      </c>
      <c r="V38" s="178" t="s">
        <v>18</v>
      </c>
      <c r="W38" s="308"/>
    </row>
    <row r="39" spans="2:23" ht="13.9" customHeight="1">
      <c r="J39" s="248"/>
      <c r="S39" s="248"/>
      <c r="T39" s="414" t="s">
        <v>181</v>
      </c>
      <c r="U39" s="272" t="s">
        <v>64</v>
      </c>
      <c r="V39" s="300">
        <v>1</v>
      </c>
      <c r="W39" s="301"/>
    </row>
    <row r="40" spans="2:23">
      <c r="J40" s="248"/>
      <c r="S40" s="248"/>
      <c r="T40" s="414"/>
      <c r="U40" s="281" t="s">
        <v>65</v>
      </c>
      <c r="V40" s="309">
        <v>2</v>
      </c>
      <c r="W40" s="308"/>
    </row>
    <row r="41" spans="2:23" ht="13.9" customHeight="1">
      <c r="J41" s="248"/>
      <c r="S41" s="248"/>
      <c r="T41" s="414" t="s">
        <v>182</v>
      </c>
      <c r="U41" s="272" t="s">
        <v>66</v>
      </c>
      <c r="V41" s="300">
        <v>4</v>
      </c>
      <c r="W41" s="301"/>
    </row>
    <row r="42" spans="2:23">
      <c r="J42" s="248"/>
      <c r="S42" s="248"/>
      <c r="T42" s="414"/>
      <c r="U42" s="286" t="s">
        <v>183</v>
      </c>
      <c r="V42" s="310">
        <v>7</v>
      </c>
      <c r="W42" s="307"/>
    </row>
    <row r="43" spans="2:23" ht="15" customHeight="1">
      <c r="B43" s="10" t="s">
        <v>184</v>
      </c>
      <c r="C43" s="10"/>
      <c r="D43" s="10"/>
      <c r="E43" s="10"/>
      <c r="F43" s="10"/>
      <c r="G43" s="10"/>
      <c r="H43" s="10"/>
      <c r="I43" s="10"/>
      <c r="J43" s="248"/>
      <c r="K43" s="10" t="s">
        <v>184</v>
      </c>
      <c r="L43" s="10"/>
      <c r="M43" s="10"/>
      <c r="N43" s="10"/>
      <c r="O43" s="10"/>
      <c r="P43" s="10"/>
      <c r="Q43" s="10"/>
      <c r="R43" s="10"/>
      <c r="S43" s="248"/>
      <c r="T43" s="414"/>
      <c r="U43" s="286" t="s">
        <v>185</v>
      </c>
      <c r="V43" s="310">
        <v>1</v>
      </c>
      <c r="W43" s="307"/>
    </row>
    <row r="44" spans="2:23" ht="13.9" customHeight="1">
      <c r="B44" s="410" t="s">
        <v>31</v>
      </c>
      <c r="C44" s="415">
        <v>2016</v>
      </c>
      <c r="D44" s="411">
        <v>2017</v>
      </c>
      <c r="E44" s="411" t="s">
        <v>172</v>
      </c>
      <c r="F44" s="411" t="s">
        <v>170</v>
      </c>
      <c r="G44" s="411"/>
      <c r="H44" s="411" t="s">
        <v>171</v>
      </c>
      <c r="I44" s="411"/>
      <c r="J44" s="248"/>
      <c r="K44" s="260" t="s">
        <v>186</v>
      </c>
      <c r="L44" s="260">
        <v>2016</v>
      </c>
      <c r="M44" s="260">
        <v>2017</v>
      </c>
      <c r="N44" s="260" t="s">
        <v>172</v>
      </c>
      <c r="O44" s="411" t="s">
        <v>170</v>
      </c>
      <c r="P44" s="411"/>
      <c r="Q44" s="411" t="s">
        <v>171</v>
      </c>
      <c r="R44" s="411"/>
      <c r="S44" s="248"/>
      <c r="T44" s="414"/>
      <c r="U44" s="286" t="s">
        <v>69</v>
      </c>
      <c r="V44" s="310">
        <v>5</v>
      </c>
      <c r="W44" s="307"/>
    </row>
    <row r="45" spans="2:23">
      <c r="B45" s="410"/>
      <c r="C45" s="415"/>
      <c r="D45" s="411"/>
      <c r="E45" s="411"/>
      <c r="F45" s="312" t="s">
        <v>174</v>
      </c>
      <c r="G45" s="260" t="s">
        <v>175</v>
      </c>
      <c r="H45" s="311" t="s">
        <v>174</v>
      </c>
      <c r="I45" s="260" t="s">
        <v>175</v>
      </c>
      <c r="J45" s="248"/>
      <c r="K45" s="260"/>
      <c r="L45" s="260"/>
      <c r="M45" s="260"/>
      <c r="N45" s="260"/>
      <c r="O45" s="260" t="s">
        <v>174</v>
      </c>
      <c r="P45" s="260" t="s">
        <v>175</v>
      </c>
      <c r="Q45" s="260" t="s">
        <v>174</v>
      </c>
      <c r="R45" s="260" t="s">
        <v>175</v>
      </c>
      <c r="S45" s="248"/>
      <c r="T45" s="414"/>
      <c r="U45" s="286" t="s">
        <v>70</v>
      </c>
      <c r="V45" s="310">
        <v>22</v>
      </c>
      <c r="W45" s="307"/>
    </row>
    <row r="46" spans="2:23" ht="15.75">
      <c r="B46" s="275" t="s">
        <v>32</v>
      </c>
      <c r="C46" s="313">
        <v>39</v>
      </c>
      <c r="D46" s="314">
        <v>42</v>
      </c>
      <c r="E46" s="315">
        <v>43</v>
      </c>
      <c r="F46" s="314">
        <v>51</v>
      </c>
      <c r="G46" s="316">
        <v>3</v>
      </c>
      <c r="H46" s="317">
        <v>43</v>
      </c>
      <c r="I46" s="315"/>
      <c r="J46" s="248"/>
      <c r="K46" s="318" t="s">
        <v>32</v>
      </c>
      <c r="L46" s="319">
        <v>12.9568106312292</v>
      </c>
      <c r="M46" s="320">
        <v>13.953488372093</v>
      </c>
      <c r="N46" s="319">
        <v>14.478114478114501</v>
      </c>
      <c r="O46" s="320">
        <v>15.223880597014899</v>
      </c>
      <c r="P46" s="320">
        <v>0.89552238805970097</v>
      </c>
      <c r="Q46" s="320">
        <v>12.835820895522399</v>
      </c>
      <c r="R46" s="321"/>
      <c r="S46" s="248"/>
      <c r="T46" s="414"/>
      <c r="U46" s="286" t="s">
        <v>187</v>
      </c>
      <c r="V46" s="310">
        <v>8</v>
      </c>
      <c r="W46" s="307"/>
    </row>
    <row r="47" spans="2:23" ht="15.75">
      <c r="B47" s="275" t="s">
        <v>33</v>
      </c>
      <c r="C47" s="313">
        <v>15</v>
      </c>
      <c r="D47" s="314">
        <v>15</v>
      </c>
      <c r="E47" s="316">
        <v>14</v>
      </c>
      <c r="F47" s="314">
        <v>18</v>
      </c>
      <c r="G47" s="178" t="s">
        <v>18</v>
      </c>
      <c r="H47" s="317">
        <v>19</v>
      </c>
      <c r="I47" s="316"/>
      <c r="J47" s="322"/>
      <c r="K47" s="318" t="s">
        <v>33</v>
      </c>
      <c r="L47" s="320">
        <v>4.9833887043189398</v>
      </c>
      <c r="M47" s="320">
        <v>4.9833887043189398</v>
      </c>
      <c r="N47" s="320">
        <v>4.7138047138047101</v>
      </c>
      <c r="O47" s="320">
        <v>5.3731343283582103</v>
      </c>
      <c r="P47" s="320">
        <v>0</v>
      </c>
      <c r="Q47" s="320">
        <v>5.6716417910447801</v>
      </c>
      <c r="R47" s="323"/>
      <c r="S47" s="322"/>
      <c r="T47" s="414"/>
      <c r="U47" s="286" t="s">
        <v>72</v>
      </c>
      <c r="V47" s="310">
        <v>16</v>
      </c>
      <c r="W47" s="307"/>
    </row>
    <row r="48" spans="2:23" ht="15.75">
      <c r="B48" s="275" t="s">
        <v>34</v>
      </c>
      <c r="C48" s="313">
        <v>38</v>
      </c>
      <c r="D48" s="314">
        <v>26</v>
      </c>
      <c r="E48" s="316">
        <v>25</v>
      </c>
      <c r="F48" s="314">
        <v>20</v>
      </c>
      <c r="G48" s="178" t="s">
        <v>18</v>
      </c>
      <c r="H48" s="317">
        <v>18</v>
      </c>
      <c r="I48" s="316"/>
      <c r="J48" s="248"/>
      <c r="K48" s="318" t="s">
        <v>34</v>
      </c>
      <c r="L48" s="320">
        <v>12.624584717608</v>
      </c>
      <c r="M48" s="320">
        <v>8.6378737541528192</v>
      </c>
      <c r="N48" s="320">
        <v>8.4175084175084205</v>
      </c>
      <c r="O48" s="320">
        <v>5.9701492537313401</v>
      </c>
      <c r="P48" s="320">
        <v>0</v>
      </c>
      <c r="Q48" s="320">
        <v>5.3731343283582103</v>
      </c>
      <c r="R48" s="323"/>
      <c r="S48" s="248"/>
      <c r="T48" s="414"/>
      <c r="U48" s="286" t="s">
        <v>73</v>
      </c>
      <c r="V48" s="178" t="s">
        <v>18</v>
      </c>
      <c r="W48" s="307"/>
    </row>
    <row r="49" spans="2:23" ht="15.75">
      <c r="B49" s="275" t="s">
        <v>35</v>
      </c>
      <c r="C49" s="313">
        <v>21</v>
      </c>
      <c r="D49" s="314">
        <v>44</v>
      </c>
      <c r="E49" s="316">
        <v>45</v>
      </c>
      <c r="F49" s="314">
        <v>44</v>
      </c>
      <c r="G49" s="316">
        <v>3</v>
      </c>
      <c r="H49" s="317">
        <v>44</v>
      </c>
      <c r="I49" s="316"/>
      <c r="J49" s="248"/>
      <c r="K49" s="318" t="s">
        <v>35</v>
      </c>
      <c r="L49" s="320">
        <v>6.9767441860465098</v>
      </c>
      <c r="M49" s="320">
        <v>15.1515151515152</v>
      </c>
      <c r="N49" s="320">
        <v>14.6179401993356</v>
      </c>
      <c r="O49" s="320">
        <v>12.5373134328358</v>
      </c>
      <c r="P49" s="320">
        <v>0.89552238805970097</v>
      </c>
      <c r="Q49" s="320">
        <v>13.134328358209</v>
      </c>
      <c r="R49" s="323"/>
      <c r="S49" s="248"/>
      <c r="T49" s="414"/>
      <c r="U49" s="286" t="s">
        <v>56</v>
      </c>
      <c r="V49" s="310">
        <v>9</v>
      </c>
      <c r="W49" s="307"/>
    </row>
    <row r="50" spans="2:23" ht="15.75">
      <c r="B50" s="275" t="s">
        <v>36</v>
      </c>
      <c r="C50" s="313">
        <v>107</v>
      </c>
      <c r="D50" s="314">
        <v>104</v>
      </c>
      <c r="E50" s="316">
        <v>103</v>
      </c>
      <c r="F50" s="314">
        <v>104</v>
      </c>
      <c r="G50" s="316">
        <v>3</v>
      </c>
      <c r="H50" s="317">
        <v>108</v>
      </c>
      <c r="I50" s="316"/>
      <c r="J50" s="248"/>
      <c r="K50" s="318" t="s">
        <v>36</v>
      </c>
      <c r="L50" s="320">
        <v>35.548172757475101</v>
      </c>
      <c r="M50" s="320">
        <v>34.680134680134699</v>
      </c>
      <c r="N50" s="320">
        <v>34.551495016611298</v>
      </c>
      <c r="O50" s="320">
        <v>31.044776119403</v>
      </c>
      <c r="P50" s="320">
        <v>0.89552238805970097</v>
      </c>
      <c r="Q50" s="320">
        <v>32.238805970149201</v>
      </c>
      <c r="R50" s="323"/>
      <c r="S50" s="248"/>
      <c r="T50" s="414"/>
      <c r="U50" s="286" t="s">
        <v>74</v>
      </c>
      <c r="V50" s="310">
        <v>11</v>
      </c>
      <c r="W50" s="307"/>
    </row>
    <row r="51" spans="2:23">
      <c r="B51" s="275" t="s">
        <v>37</v>
      </c>
      <c r="C51" s="313">
        <v>30</v>
      </c>
      <c r="D51" s="314">
        <v>38</v>
      </c>
      <c r="E51" s="316">
        <v>32</v>
      </c>
      <c r="F51" s="314">
        <v>40</v>
      </c>
      <c r="G51" s="316">
        <v>9</v>
      </c>
      <c r="H51" s="317">
        <v>43</v>
      </c>
      <c r="I51" s="316">
        <v>3</v>
      </c>
      <c r="J51" s="248"/>
      <c r="K51" s="318" t="s">
        <v>188</v>
      </c>
      <c r="L51" s="320">
        <v>9.9667774086378706</v>
      </c>
      <c r="M51" s="320">
        <v>10.7744107744108</v>
      </c>
      <c r="N51" s="320">
        <v>12.624584717608</v>
      </c>
      <c r="O51" s="320">
        <v>11.9402985074627</v>
      </c>
      <c r="P51" s="320">
        <v>2.6865671641790998</v>
      </c>
      <c r="Q51" s="320">
        <v>12.835820895522399</v>
      </c>
      <c r="R51" s="324">
        <v>0.9</v>
      </c>
      <c r="S51" s="248"/>
      <c r="T51" s="414"/>
      <c r="U51" s="286" t="s">
        <v>63</v>
      </c>
      <c r="V51" s="178" t="s">
        <v>18</v>
      </c>
      <c r="W51" s="307"/>
    </row>
    <row r="52" spans="2:23" ht="15.75">
      <c r="B52" s="275" t="s">
        <v>38</v>
      </c>
      <c r="C52" s="313">
        <v>27</v>
      </c>
      <c r="D52" s="314">
        <v>26</v>
      </c>
      <c r="E52" s="316">
        <v>22</v>
      </c>
      <c r="F52" s="314">
        <v>31</v>
      </c>
      <c r="G52" s="316">
        <v>4</v>
      </c>
      <c r="H52" s="325">
        <v>25</v>
      </c>
      <c r="I52" s="326"/>
      <c r="J52" s="248"/>
      <c r="K52" s="318" t="s">
        <v>38</v>
      </c>
      <c r="L52" s="320">
        <v>8.9700996677740896</v>
      </c>
      <c r="M52" s="320">
        <v>7.4074074074074101</v>
      </c>
      <c r="N52" s="320">
        <v>8.6378737541528192</v>
      </c>
      <c r="O52" s="320">
        <v>8.9552238805970106</v>
      </c>
      <c r="P52" s="320">
        <v>1.1940298507462701</v>
      </c>
      <c r="Q52" s="320">
        <v>7.4626865671641802</v>
      </c>
      <c r="R52" s="323"/>
      <c r="S52" s="248"/>
      <c r="T52" s="414"/>
      <c r="U52" s="286" t="s">
        <v>59</v>
      </c>
      <c r="V52" s="310">
        <v>5</v>
      </c>
      <c r="W52" s="307"/>
    </row>
    <row r="53" spans="2:23" ht="15.75">
      <c r="B53" s="327" t="s">
        <v>39</v>
      </c>
      <c r="C53" s="313">
        <v>24</v>
      </c>
      <c r="D53" s="314">
        <v>12</v>
      </c>
      <c r="E53" s="316">
        <v>13</v>
      </c>
      <c r="F53" s="314">
        <v>27</v>
      </c>
      <c r="G53" s="178" t="s">
        <v>18</v>
      </c>
      <c r="H53" s="317">
        <v>35</v>
      </c>
      <c r="I53" s="316"/>
      <c r="J53" s="248"/>
      <c r="K53" s="318" t="s">
        <v>39</v>
      </c>
      <c r="L53" s="320">
        <v>7.9734219269102997</v>
      </c>
      <c r="M53" s="320">
        <v>4.3771043771043798</v>
      </c>
      <c r="N53" s="320">
        <v>3.9867109634551499</v>
      </c>
      <c r="O53" s="320">
        <v>8.0597014925373092</v>
      </c>
      <c r="P53" s="320">
        <v>0</v>
      </c>
      <c r="Q53" s="320">
        <v>10.4477611940299</v>
      </c>
      <c r="R53" s="323"/>
      <c r="S53" s="248"/>
      <c r="T53" s="414"/>
      <c r="U53" s="286" t="s">
        <v>189</v>
      </c>
      <c r="V53" s="310">
        <v>2</v>
      </c>
      <c r="W53" s="307"/>
    </row>
    <row r="54" spans="2:23">
      <c r="B54" s="328" t="s">
        <v>29</v>
      </c>
      <c r="C54" s="260">
        <v>301</v>
      </c>
      <c r="D54" s="260">
        <v>307</v>
      </c>
      <c r="E54" s="260">
        <v>297</v>
      </c>
      <c r="F54" s="260">
        <v>335</v>
      </c>
      <c r="G54" s="260">
        <v>22</v>
      </c>
      <c r="H54" s="329">
        <v>335</v>
      </c>
      <c r="I54" s="330">
        <v>3</v>
      </c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414"/>
      <c r="U54" s="286" t="s">
        <v>77</v>
      </c>
      <c r="V54" s="310">
        <v>6</v>
      </c>
      <c r="W54" s="307"/>
    </row>
    <row r="55" spans="2:23"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414"/>
      <c r="U55" s="286" t="s">
        <v>190</v>
      </c>
      <c r="V55" s="178" t="s">
        <v>18</v>
      </c>
      <c r="W55" s="331">
        <v>1</v>
      </c>
    </row>
    <row r="56" spans="2:23"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414"/>
      <c r="U56" s="281" t="s">
        <v>60</v>
      </c>
      <c r="V56" s="309">
        <v>3</v>
      </c>
      <c r="W56" s="308"/>
    </row>
    <row r="57" spans="2:23" ht="13.9" customHeight="1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414" t="s">
        <v>191</v>
      </c>
      <c r="U57" s="272" t="s">
        <v>83</v>
      </c>
      <c r="V57" s="300">
        <v>1</v>
      </c>
      <c r="W57" s="301"/>
    </row>
    <row r="58" spans="2:23"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414"/>
      <c r="U58" s="281" t="s">
        <v>84</v>
      </c>
      <c r="V58" s="309">
        <v>1</v>
      </c>
      <c r="W58" s="308"/>
    </row>
    <row r="59" spans="2:23" ht="13.9" customHeight="1">
      <c r="T59" s="414" t="s">
        <v>192</v>
      </c>
      <c r="U59" s="272" t="s">
        <v>183</v>
      </c>
      <c r="V59" s="178" t="s">
        <v>18</v>
      </c>
      <c r="W59" s="301"/>
    </row>
    <row r="60" spans="2:23">
      <c r="T60" s="414"/>
      <c r="U60" s="281" t="s">
        <v>185</v>
      </c>
      <c r="V60" s="184" t="s">
        <v>18</v>
      </c>
      <c r="W60" s="308"/>
    </row>
    <row r="61" spans="2:23" ht="13.9" customHeight="1">
      <c r="T61" s="414" t="s">
        <v>193</v>
      </c>
      <c r="U61" s="272" t="s">
        <v>54</v>
      </c>
      <c r="V61" s="178" t="s">
        <v>18</v>
      </c>
      <c r="W61" s="301"/>
    </row>
    <row r="62" spans="2:23">
      <c r="T62" s="414"/>
      <c r="U62" s="281" t="s">
        <v>62</v>
      </c>
      <c r="V62" s="309">
        <v>3</v>
      </c>
      <c r="W62" s="308"/>
    </row>
    <row r="63" spans="2:23" ht="13.9" customHeight="1">
      <c r="T63" s="414" t="s">
        <v>194</v>
      </c>
      <c r="U63" s="272" t="s">
        <v>86</v>
      </c>
      <c r="V63" s="178" t="s">
        <v>18</v>
      </c>
      <c r="W63" s="301"/>
    </row>
    <row r="64" spans="2:23">
      <c r="T64" s="414"/>
      <c r="U64" s="281" t="s">
        <v>59</v>
      </c>
      <c r="V64" s="178" t="s">
        <v>18</v>
      </c>
      <c r="W64" s="308"/>
    </row>
    <row r="65" spans="20:23" ht="13.9" customHeight="1">
      <c r="T65" s="414" t="s">
        <v>195</v>
      </c>
      <c r="U65" s="272" t="s">
        <v>185</v>
      </c>
      <c r="V65" s="300">
        <v>8</v>
      </c>
      <c r="W65" s="301"/>
    </row>
    <row r="66" spans="20:23">
      <c r="T66" s="414"/>
      <c r="U66" s="281" t="s">
        <v>87</v>
      </c>
      <c r="V66" s="309">
        <v>8</v>
      </c>
      <c r="W66" s="308"/>
    </row>
    <row r="67" spans="20:23" ht="13.9" customHeight="1">
      <c r="T67" s="414" t="s">
        <v>196</v>
      </c>
      <c r="U67" s="272" t="s">
        <v>76</v>
      </c>
      <c r="V67" s="300">
        <v>15</v>
      </c>
      <c r="W67" s="301"/>
    </row>
    <row r="68" spans="20:23">
      <c r="T68" s="414"/>
      <c r="U68" s="286" t="s">
        <v>88</v>
      </c>
      <c r="V68" s="310">
        <v>11</v>
      </c>
      <c r="W68" s="307"/>
    </row>
    <row r="69" spans="20:23">
      <c r="T69" s="414"/>
      <c r="U69" s="281" t="s">
        <v>69</v>
      </c>
      <c r="V69" s="309">
        <v>1</v>
      </c>
      <c r="W69" s="308"/>
    </row>
    <row r="70" spans="20:23" ht="13.9" customHeight="1">
      <c r="T70" s="414" t="s">
        <v>197</v>
      </c>
      <c r="U70" s="272" t="s">
        <v>63</v>
      </c>
      <c r="V70" s="300">
        <v>2</v>
      </c>
      <c r="W70" s="301"/>
    </row>
    <row r="71" spans="20:23">
      <c r="T71" s="414"/>
      <c r="U71" s="281" t="s">
        <v>89</v>
      </c>
      <c r="V71" s="309">
        <v>2</v>
      </c>
      <c r="W71" s="308"/>
    </row>
    <row r="72" spans="20:23" ht="13.9" customHeight="1">
      <c r="T72" s="414" t="s">
        <v>198</v>
      </c>
      <c r="U72" s="272" t="s">
        <v>90</v>
      </c>
      <c r="V72" s="300">
        <v>1</v>
      </c>
      <c r="W72" s="301"/>
    </row>
    <row r="73" spans="20:23">
      <c r="T73" s="414"/>
      <c r="U73" s="286" t="s">
        <v>91</v>
      </c>
      <c r="V73" s="310">
        <v>5</v>
      </c>
      <c r="W73" s="307"/>
    </row>
    <row r="74" spans="20:23">
      <c r="T74" s="414"/>
      <c r="U74" s="286" t="s">
        <v>69</v>
      </c>
      <c r="V74" s="310">
        <v>25</v>
      </c>
      <c r="W74" s="331">
        <v>2</v>
      </c>
    </row>
    <row r="75" spans="20:23">
      <c r="T75" s="414"/>
      <c r="U75" s="281" t="s">
        <v>59</v>
      </c>
      <c r="V75" s="309">
        <v>2</v>
      </c>
      <c r="W75" s="308"/>
    </row>
    <row r="76" spans="20:23" ht="13.9" customHeight="1">
      <c r="T76" s="414" t="s">
        <v>199</v>
      </c>
      <c r="U76" s="272" t="s">
        <v>93</v>
      </c>
      <c r="V76" s="300"/>
      <c r="W76" s="301"/>
    </row>
    <row r="77" spans="20:23">
      <c r="T77" s="414"/>
      <c r="U77" s="286" t="s">
        <v>94</v>
      </c>
      <c r="V77" s="310">
        <v>2</v>
      </c>
      <c r="W77" s="307"/>
    </row>
    <row r="78" spans="20:23">
      <c r="T78" s="414"/>
      <c r="U78" s="281" t="s">
        <v>95</v>
      </c>
      <c r="V78" s="309">
        <v>4</v>
      </c>
      <c r="W78" s="308"/>
    </row>
    <row r="79" spans="20:23">
      <c r="T79" s="416" t="s">
        <v>137</v>
      </c>
      <c r="U79" s="416"/>
      <c r="V79" s="332">
        <v>335</v>
      </c>
      <c r="W79" s="333">
        <v>3</v>
      </c>
    </row>
    <row r="80" spans="20:23"/>
    <row r="81"/>
  </sheetData>
  <mergeCells count="49">
    <mergeCell ref="T67:T69"/>
    <mergeCell ref="T70:T71"/>
    <mergeCell ref="T72:T75"/>
    <mergeCell ref="T76:T78"/>
    <mergeCell ref="T79:U79"/>
    <mergeCell ref="T57:T58"/>
    <mergeCell ref="T59:T60"/>
    <mergeCell ref="T61:T62"/>
    <mergeCell ref="T63:T64"/>
    <mergeCell ref="T65:T66"/>
    <mergeCell ref="T36:T38"/>
    <mergeCell ref="T39:T40"/>
    <mergeCell ref="T41:T56"/>
    <mergeCell ref="B43:I43"/>
    <mergeCell ref="K43:R43"/>
    <mergeCell ref="B44:B45"/>
    <mergeCell ref="C44:C45"/>
    <mergeCell ref="D44:D45"/>
    <mergeCell ref="E44:E45"/>
    <mergeCell ref="F44:G44"/>
    <mergeCell ref="H44:I44"/>
    <mergeCell ref="O44:P44"/>
    <mergeCell ref="Q44:R44"/>
    <mergeCell ref="T20:T21"/>
    <mergeCell ref="V20:W20"/>
    <mergeCell ref="T22:T23"/>
    <mergeCell ref="T24:T26"/>
    <mergeCell ref="T27:T35"/>
    <mergeCell ref="B19:I19"/>
    <mergeCell ref="K19:R19"/>
    <mergeCell ref="B20:B21"/>
    <mergeCell ref="C20:C21"/>
    <mergeCell ref="D20:D21"/>
    <mergeCell ref="E20:E21"/>
    <mergeCell ref="F20:G20"/>
    <mergeCell ref="H20:I20"/>
    <mergeCell ref="K20:K21"/>
    <mergeCell ref="O20:P20"/>
    <mergeCell ref="Q20:R20"/>
    <mergeCell ref="T12:W12"/>
    <mergeCell ref="B14:I14"/>
    <mergeCell ref="K14:Q14"/>
    <mergeCell ref="T14:W14"/>
    <mergeCell ref="B16:I16"/>
    <mergeCell ref="B5:P5"/>
    <mergeCell ref="B6:O6"/>
    <mergeCell ref="Q8:R8"/>
    <mergeCell ref="B11:G11"/>
    <mergeCell ref="K12:Q12"/>
  </mergeCells>
  <hyperlinks>
    <hyperlink ref="R6" location="'Resumo IC'!A1" display="Resumo " xr:uid="{00000000-0004-0000-0A00-000000000000}"/>
    <hyperlink ref="Q8" location="capa!A1" display="Página Inicial" xr:uid="{00000000-0004-0000-0A00-000001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MK49"/>
  <sheetViews>
    <sheetView showGridLines="0" showRowColHeaders="0" zoomScale="80" zoomScaleNormal="80" workbookViewId="0">
      <selection activeCell="AMK1" sqref="AMK1:XFD1048576"/>
    </sheetView>
  </sheetViews>
  <sheetFormatPr defaultColWidth="0" defaultRowHeight="15" zeroHeight="1"/>
  <cols>
    <col min="1" max="1" width="3.7109375" customWidth="1"/>
    <col min="2" max="2" width="26.140625" customWidth="1"/>
    <col min="3" max="4" width="9.140625" customWidth="1"/>
    <col min="5" max="5" width="12.42578125" customWidth="1"/>
    <col min="6" max="6" width="12" customWidth="1"/>
    <col min="7" max="7" width="12.7109375" customWidth="1"/>
    <col min="8" max="8" width="12" customWidth="1"/>
    <col min="9" max="9" width="13" customWidth="1"/>
    <col min="10" max="10" width="12.7109375" customWidth="1"/>
    <col min="11" max="12" width="9.140625" customWidth="1"/>
    <col min="13" max="1023" width="9.140625" hidden="1" customWidth="1"/>
    <col min="1024" max="1024" width="5.5703125" customWidth="1"/>
    <col min="1025" max="1025" width="3.7109375" hidden="1"/>
    <col min="1026" max="16384" width="9.140625" hidden="1"/>
  </cols>
  <sheetData>
    <row r="1" spans="2:11"/>
    <row r="2" spans="2:11"/>
    <row r="3" spans="2:11"/>
    <row r="4" spans="2:11"/>
    <row r="5" spans="2:11" ht="18.75"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</row>
    <row r="6" spans="2:11" ht="18.75">
      <c r="B6" s="12" t="s">
        <v>200</v>
      </c>
      <c r="C6" s="12"/>
      <c r="D6" s="12"/>
      <c r="E6" s="12"/>
      <c r="F6" s="12"/>
      <c r="G6" s="12"/>
      <c r="H6" s="12"/>
      <c r="I6" s="12"/>
      <c r="J6" s="12"/>
      <c r="K6" s="12"/>
    </row>
    <row r="7" spans="2:11">
      <c r="B7" s="24"/>
      <c r="C7" s="24"/>
      <c r="D7" s="24"/>
      <c r="E7" s="25"/>
      <c r="F7" s="25"/>
      <c r="G7" s="25"/>
      <c r="H7" s="23"/>
      <c r="I7" s="23"/>
      <c r="J7" s="23"/>
      <c r="K7" s="23"/>
    </row>
    <row r="8" spans="2:11" ht="16.5">
      <c r="B8" s="24"/>
      <c r="C8" s="24"/>
      <c r="D8" s="24"/>
      <c r="E8" s="25"/>
      <c r="F8" s="23"/>
      <c r="G8" s="23"/>
      <c r="H8" s="23"/>
      <c r="I8" s="23"/>
      <c r="J8" s="385" t="s">
        <v>3</v>
      </c>
      <c r="K8" s="385"/>
    </row>
    <row r="9" spans="2:11"/>
    <row r="10" spans="2:11" ht="15.75">
      <c r="B10" s="206" t="s">
        <v>201</v>
      </c>
      <c r="C10" s="206"/>
    </row>
    <row r="11" spans="2:11"/>
    <row r="12" spans="2:11">
      <c r="B12" s="417"/>
      <c r="C12" s="417"/>
      <c r="D12" s="417"/>
      <c r="E12" s="417"/>
      <c r="F12" s="417"/>
      <c r="G12" s="417"/>
      <c r="H12" s="248"/>
      <c r="I12" s="248"/>
      <c r="J12" s="248"/>
    </row>
    <row r="13" spans="2:11" ht="15.75" customHeight="1">
      <c r="B13" s="10" t="s">
        <v>202</v>
      </c>
      <c r="C13" s="10"/>
      <c r="D13" s="10"/>
      <c r="E13" s="10"/>
      <c r="F13" s="10"/>
      <c r="G13" s="10"/>
      <c r="H13" s="10"/>
      <c r="I13" s="10"/>
      <c r="J13" s="10"/>
    </row>
    <row r="14" spans="2:11">
      <c r="B14" s="411" t="s">
        <v>6</v>
      </c>
      <c r="C14" s="411">
        <v>2016</v>
      </c>
      <c r="D14" s="411">
        <v>2017</v>
      </c>
      <c r="E14" s="411">
        <v>2018</v>
      </c>
      <c r="F14" s="411"/>
      <c r="G14" s="411"/>
      <c r="H14" s="411">
        <v>2019</v>
      </c>
      <c r="I14" s="411"/>
      <c r="J14" s="411"/>
    </row>
    <row r="15" spans="2:11">
      <c r="B15" s="411"/>
      <c r="C15" s="411"/>
      <c r="D15" s="411"/>
      <c r="E15" s="312" t="s">
        <v>203</v>
      </c>
      <c r="F15" s="260" t="s">
        <v>204</v>
      </c>
      <c r="G15" s="311" t="s">
        <v>10</v>
      </c>
      <c r="H15" s="260" t="s">
        <v>203</v>
      </c>
      <c r="I15" s="260" t="s">
        <v>204</v>
      </c>
      <c r="J15" s="260" t="s">
        <v>10</v>
      </c>
    </row>
    <row r="16" spans="2:11">
      <c r="B16" s="265" t="s">
        <v>14</v>
      </c>
      <c r="C16" s="266">
        <v>8</v>
      </c>
      <c r="D16" s="267">
        <v>3</v>
      </c>
      <c r="E16" s="334">
        <v>11</v>
      </c>
      <c r="F16" s="335">
        <v>4</v>
      </c>
      <c r="G16" s="334">
        <v>3</v>
      </c>
      <c r="H16" s="336">
        <v>20</v>
      </c>
      <c r="I16" s="266">
        <v>1</v>
      </c>
      <c r="J16" s="267">
        <v>10</v>
      </c>
    </row>
    <row r="17" spans="2:10">
      <c r="B17" s="275" t="s">
        <v>13</v>
      </c>
      <c r="C17" s="266">
        <v>11</v>
      </c>
      <c r="D17" s="276">
        <v>2</v>
      </c>
      <c r="E17" s="334">
        <v>6</v>
      </c>
      <c r="F17" s="178" t="s">
        <v>18</v>
      </c>
      <c r="G17" s="334">
        <v>3</v>
      </c>
      <c r="H17" s="326">
        <v>5</v>
      </c>
      <c r="I17" s="266">
        <v>0</v>
      </c>
      <c r="J17" s="276">
        <v>5</v>
      </c>
    </row>
    <row r="18" spans="2:10">
      <c r="B18" s="275" t="s">
        <v>15</v>
      </c>
      <c r="C18" s="266">
        <v>17</v>
      </c>
      <c r="D18" s="276">
        <v>13</v>
      </c>
      <c r="E18" s="334">
        <v>19</v>
      </c>
      <c r="F18" s="335">
        <v>3</v>
      </c>
      <c r="G18" s="334">
        <v>8</v>
      </c>
      <c r="H18" s="326">
        <v>18</v>
      </c>
      <c r="I18" s="266">
        <v>2</v>
      </c>
      <c r="J18" s="276">
        <v>9</v>
      </c>
    </row>
    <row r="19" spans="2:10">
      <c r="B19" s="275" t="s">
        <v>16</v>
      </c>
      <c r="C19" s="266">
        <v>3</v>
      </c>
      <c r="D19" s="276">
        <v>2</v>
      </c>
      <c r="E19" s="334">
        <v>4</v>
      </c>
      <c r="F19" s="178" t="s">
        <v>18</v>
      </c>
      <c r="G19" s="334">
        <v>2</v>
      </c>
      <c r="H19" s="326">
        <v>4</v>
      </c>
      <c r="I19" s="266">
        <v>1</v>
      </c>
      <c r="J19" s="276">
        <v>2</v>
      </c>
    </row>
    <row r="20" spans="2:10">
      <c r="B20" s="275" t="s">
        <v>17</v>
      </c>
      <c r="C20" s="178" t="s">
        <v>18</v>
      </c>
      <c r="D20" s="178" t="s">
        <v>18</v>
      </c>
      <c r="E20" s="178" t="s">
        <v>18</v>
      </c>
      <c r="F20" s="178" t="s">
        <v>18</v>
      </c>
      <c r="G20" s="334">
        <v>0</v>
      </c>
      <c r="H20" s="326">
        <v>0</v>
      </c>
      <c r="I20" s="266">
        <v>0</v>
      </c>
      <c r="J20" s="276">
        <v>0</v>
      </c>
    </row>
    <row r="21" spans="2:10">
      <c r="B21" s="275" t="s">
        <v>19</v>
      </c>
      <c r="C21" s="266">
        <v>25</v>
      </c>
      <c r="D21" s="276">
        <v>13</v>
      </c>
      <c r="E21" s="334">
        <v>13</v>
      </c>
      <c r="F21" s="335">
        <v>5</v>
      </c>
      <c r="G21" s="334">
        <v>5</v>
      </c>
      <c r="H21" s="326">
        <v>17</v>
      </c>
      <c r="I21" s="266">
        <v>3</v>
      </c>
      <c r="J21" s="276">
        <v>9</v>
      </c>
    </row>
    <row r="22" spans="2:10">
      <c r="B22" s="275" t="s">
        <v>20</v>
      </c>
      <c r="C22" s="266">
        <v>0</v>
      </c>
      <c r="D22" s="276">
        <v>0</v>
      </c>
      <c r="E22" s="334">
        <v>1</v>
      </c>
      <c r="F22" s="335">
        <v>1</v>
      </c>
      <c r="G22" s="334">
        <v>0</v>
      </c>
      <c r="H22" s="326">
        <v>0</v>
      </c>
      <c r="I22" s="266">
        <v>0</v>
      </c>
      <c r="J22" s="276">
        <v>0</v>
      </c>
    </row>
    <row r="23" spans="2:10">
      <c r="B23" s="275" t="s">
        <v>21</v>
      </c>
      <c r="C23" s="266">
        <v>2</v>
      </c>
      <c r="D23" s="276">
        <v>1</v>
      </c>
      <c r="E23" s="178" t="s">
        <v>18</v>
      </c>
      <c r="F23" s="178" t="s">
        <v>18</v>
      </c>
      <c r="G23" s="334">
        <v>1</v>
      </c>
      <c r="H23" s="326">
        <v>0</v>
      </c>
      <c r="I23" s="266">
        <v>0</v>
      </c>
      <c r="J23" s="276">
        <v>0</v>
      </c>
    </row>
    <row r="24" spans="2:10">
      <c r="B24" s="275" t="s">
        <v>22</v>
      </c>
      <c r="C24" s="266">
        <v>5</v>
      </c>
      <c r="D24" s="276">
        <v>7</v>
      </c>
      <c r="E24" s="334">
        <v>4</v>
      </c>
      <c r="F24" s="335">
        <v>1</v>
      </c>
      <c r="G24" s="334">
        <v>7</v>
      </c>
      <c r="H24" s="326">
        <v>4</v>
      </c>
      <c r="I24" s="266">
        <v>0</v>
      </c>
      <c r="J24" s="276">
        <v>5</v>
      </c>
    </row>
    <row r="25" spans="2:10">
      <c r="B25" s="275" t="s">
        <v>23</v>
      </c>
      <c r="C25" s="178" t="s">
        <v>18</v>
      </c>
      <c r="D25" s="178" t="s">
        <v>18</v>
      </c>
      <c r="E25" s="178" t="s">
        <v>18</v>
      </c>
      <c r="F25" s="335">
        <v>1</v>
      </c>
      <c r="G25" s="334">
        <v>0</v>
      </c>
      <c r="H25" s="326">
        <v>0</v>
      </c>
      <c r="I25" s="266">
        <v>0</v>
      </c>
      <c r="J25" s="276">
        <v>0</v>
      </c>
    </row>
    <row r="26" spans="2:10">
      <c r="B26" s="275" t="s">
        <v>24</v>
      </c>
      <c r="C26" s="266">
        <v>3</v>
      </c>
      <c r="D26" s="276">
        <v>2</v>
      </c>
      <c r="E26" s="334">
        <v>9</v>
      </c>
      <c r="F26" s="178" t="s">
        <v>18</v>
      </c>
      <c r="G26" s="334">
        <v>5</v>
      </c>
      <c r="H26" s="326">
        <v>7</v>
      </c>
      <c r="I26" s="266">
        <v>0</v>
      </c>
      <c r="J26" s="276">
        <v>12</v>
      </c>
    </row>
    <row r="27" spans="2:10">
      <c r="B27" s="275" t="s">
        <v>25</v>
      </c>
      <c r="C27" s="266">
        <v>10</v>
      </c>
      <c r="D27" s="276">
        <v>3</v>
      </c>
      <c r="E27" s="334">
        <v>6</v>
      </c>
      <c r="F27" s="178" t="s">
        <v>18</v>
      </c>
      <c r="G27" s="334">
        <v>4</v>
      </c>
      <c r="H27" s="326">
        <v>6</v>
      </c>
      <c r="I27" s="266">
        <v>1</v>
      </c>
      <c r="J27" s="276">
        <v>3</v>
      </c>
    </row>
    <row r="28" spans="2:10">
      <c r="B28" s="275" t="s">
        <v>26</v>
      </c>
      <c r="C28" s="266">
        <v>3</v>
      </c>
      <c r="D28" s="178" t="s">
        <v>18</v>
      </c>
      <c r="E28" s="334">
        <v>3</v>
      </c>
      <c r="F28" s="178" t="s">
        <v>18</v>
      </c>
      <c r="G28" s="334">
        <v>0</v>
      </c>
      <c r="H28" s="326">
        <v>1</v>
      </c>
      <c r="I28" s="266">
        <v>2</v>
      </c>
      <c r="J28" s="276">
        <v>0</v>
      </c>
    </row>
    <row r="29" spans="2:10">
      <c r="B29" s="275" t="s">
        <v>27</v>
      </c>
      <c r="C29" s="266">
        <v>5</v>
      </c>
      <c r="D29" s="276">
        <v>1</v>
      </c>
      <c r="E29" s="334">
        <v>6</v>
      </c>
      <c r="F29" s="335">
        <v>1</v>
      </c>
      <c r="G29" s="334">
        <v>0</v>
      </c>
      <c r="H29" s="326">
        <v>13</v>
      </c>
      <c r="I29" s="266">
        <v>0</v>
      </c>
      <c r="J29" s="276">
        <v>4</v>
      </c>
    </row>
    <row r="30" spans="2:10">
      <c r="B30" s="275" t="s">
        <v>28</v>
      </c>
      <c r="C30" s="178" t="s">
        <v>18</v>
      </c>
      <c r="D30" s="178" t="s">
        <v>18</v>
      </c>
      <c r="E30" s="178" t="s">
        <v>18</v>
      </c>
      <c r="F30" s="178" t="s">
        <v>18</v>
      </c>
      <c r="G30" s="178" t="s">
        <v>18</v>
      </c>
      <c r="H30" s="178" t="s">
        <v>18</v>
      </c>
      <c r="I30" s="266">
        <v>0</v>
      </c>
      <c r="J30" s="293">
        <v>0</v>
      </c>
    </row>
    <row r="31" spans="2:10">
      <c r="B31" s="302" t="s">
        <v>205</v>
      </c>
      <c r="C31" s="337">
        <v>92</v>
      </c>
      <c r="D31" s="304">
        <v>47</v>
      </c>
      <c r="E31" s="338">
        <v>82</v>
      </c>
      <c r="F31" s="339">
        <v>16</v>
      </c>
      <c r="G31" s="338">
        <v>38</v>
      </c>
      <c r="H31" s="304">
        <v>95</v>
      </c>
      <c r="I31" s="303">
        <v>10</v>
      </c>
      <c r="J31" s="303">
        <v>59</v>
      </c>
    </row>
    <row r="32" spans="2:10" ht="15.75">
      <c r="B32" s="340"/>
      <c r="C32" s="341"/>
      <c r="D32" s="341"/>
      <c r="E32" s="342"/>
      <c r="F32" s="342"/>
      <c r="G32" s="342"/>
      <c r="H32" s="343"/>
      <c r="I32" s="343"/>
      <c r="J32" s="343"/>
    </row>
    <row r="33" spans="2:10" ht="15.75">
      <c r="B33" s="340"/>
      <c r="C33" s="341"/>
      <c r="D33" s="341"/>
      <c r="E33" s="342"/>
      <c r="F33" s="342"/>
      <c r="G33" s="342"/>
      <c r="H33" s="343"/>
      <c r="I33" s="343"/>
      <c r="J33" s="343"/>
    </row>
    <row r="34" spans="2:10" ht="15.75">
      <c r="B34" s="340"/>
      <c r="C34" s="341"/>
      <c r="D34" s="341"/>
      <c r="E34" s="342"/>
      <c r="F34" s="342"/>
      <c r="G34" s="342"/>
      <c r="H34" s="343"/>
      <c r="I34" s="343"/>
      <c r="J34" s="343"/>
    </row>
    <row r="35" spans="2:10" ht="15.75" customHeight="1">
      <c r="B35" s="391" t="s">
        <v>206</v>
      </c>
      <c r="C35" s="391"/>
      <c r="D35" s="391"/>
      <c r="E35" s="391"/>
      <c r="F35" s="391"/>
      <c r="G35" s="391"/>
      <c r="H35" s="391"/>
      <c r="I35" s="391"/>
      <c r="J35" s="391"/>
    </row>
    <row r="36" spans="2:10">
      <c r="B36" s="418" t="s">
        <v>186</v>
      </c>
      <c r="C36" s="418">
        <v>2016</v>
      </c>
      <c r="D36" s="418">
        <v>2017</v>
      </c>
      <c r="E36" s="419" t="s">
        <v>207</v>
      </c>
      <c r="F36" s="419"/>
      <c r="G36" s="419"/>
      <c r="H36" s="411" t="s">
        <v>208</v>
      </c>
      <c r="I36" s="411"/>
      <c r="J36" s="411"/>
    </row>
    <row r="37" spans="2:10">
      <c r="B37" s="418"/>
      <c r="C37" s="418"/>
      <c r="D37" s="418"/>
      <c r="E37" s="344" t="s">
        <v>203</v>
      </c>
      <c r="F37" s="344" t="s">
        <v>204</v>
      </c>
      <c r="G37" s="344" t="s">
        <v>209</v>
      </c>
      <c r="H37" s="344" t="s">
        <v>203</v>
      </c>
      <c r="I37" s="344" t="s">
        <v>204</v>
      </c>
      <c r="J37" s="344" t="s">
        <v>209</v>
      </c>
    </row>
    <row r="38" spans="2:10">
      <c r="B38" s="345" t="s">
        <v>32</v>
      </c>
      <c r="C38" s="267">
        <v>11</v>
      </c>
      <c r="D38" s="346">
        <v>11</v>
      </c>
      <c r="E38" s="347">
        <v>17</v>
      </c>
      <c r="F38" s="348">
        <v>5</v>
      </c>
      <c r="G38" s="347">
        <v>7</v>
      </c>
      <c r="H38" s="346">
        <v>8</v>
      </c>
      <c r="I38" s="267">
        <v>55</v>
      </c>
      <c r="J38" s="349">
        <v>8</v>
      </c>
    </row>
    <row r="39" spans="2:10">
      <c r="B39" s="350" t="s">
        <v>33</v>
      </c>
      <c r="C39" s="276">
        <v>6</v>
      </c>
      <c r="D39" s="266">
        <v>3</v>
      </c>
      <c r="E39" s="335">
        <v>7</v>
      </c>
      <c r="F39" s="178" t="s">
        <v>18</v>
      </c>
      <c r="G39" s="335">
        <v>5</v>
      </c>
      <c r="H39" s="266">
        <v>6</v>
      </c>
      <c r="I39" s="276">
        <v>0</v>
      </c>
      <c r="J39" s="351">
        <v>10</v>
      </c>
    </row>
    <row r="40" spans="2:10">
      <c r="B40" s="350" t="s">
        <v>34</v>
      </c>
      <c r="C40" s="276">
        <v>14</v>
      </c>
      <c r="D40" s="266">
        <v>1</v>
      </c>
      <c r="E40" s="335">
        <v>2</v>
      </c>
      <c r="F40" s="178" t="s">
        <v>18</v>
      </c>
      <c r="G40" s="335">
        <v>1</v>
      </c>
      <c r="H40" s="266">
        <v>3</v>
      </c>
      <c r="I40" s="276">
        <v>0</v>
      </c>
      <c r="J40" s="351">
        <v>2</v>
      </c>
    </row>
    <row r="41" spans="2:10">
      <c r="B41" s="350" t="s">
        <v>35</v>
      </c>
      <c r="C41" s="276">
        <v>4</v>
      </c>
      <c r="D41" s="266">
        <v>2</v>
      </c>
      <c r="E41" s="335">
        <v>3</v>
      </c>
      <c r="F41" s="178" t="s">
        <v>18</v>
      </c>
      <c r="G41" s="178" t="s">
        <v>18</v>
      </c>
      <c r="H41" s="266">
        <v>5</v>
      </c>
      <c r="I41" s="276">
        <v>0</v>
      </c>
      <c r="J41" s="351">
        <v>3</v>
      </c>
    </row>
    <row r="42" spans="2:10">
      <c r="B42" s="350" t="s">
        <v>36</v>
      </c>
      <c r="C42" s="276">
        <v>11</v>
      </c>
      <c r="D42" s="266">
        <v>3</v>
      </c>
      <c r="E42" s="335">
        <v>11</v>
      </c>
      <c r="F42" s="334">
        <v>5</v>
      </c>
      <c r="G42" s="335">
        <v>3</v>
      </c>
      <c r="H42" s="266">
        <v>22</v>
      </c>
      <c r="I42" s="276">
        <v>2</v>
      </c>
      <c r="J42" s="351">
        <v>9</v>
      </c>
    </row>
    <row r="43" spans="2:10">
      <c r="B43" s="350" t="s">
        <v>37</v>
      </c>
      <c r="C43" s="276">
        <v>14</v>
      </c>
      <c r="D43" s="266">
        <v>4</v>
      </c>
      <c r="E43" s="335">
        <v>8</v>
      </c>
      <c r="F43" s="334">
        <v>1</v>
      </c>
      <c r="G43" s="335">
        <v>4</v>
      </c>
      <c r="H43" s="266">
        <v>17</v>
      </c>
      <c r="I43" s="276">
        <v>0</v>
      </c>
      <c r="J43" s="351">
        <v>5</v>
      </c>
    </row>
    <row r="44" spans="2:10">
      <c r="B44" s="350" t="s">
        <v>38</v>
      </c>
      <c r="C44" s="276">
        <v>11</v>
      </c>
      <c r="D44" s="266">
        <v>8</v>
      </c>
      <c r="E44" s="335">
        <v>18</v>
      </c>
      <c r="F44" s="334">
        <v>5</v>
      </c>
      <c r="G44" s="335">
        <v>8</v>
      </c>
      <c r="H44" s="266">
        <v>15</v>
      </c>
      <c r="I44" s="276">
        <v>2</v>
      </c>
      <c r="J44" s="351">
        <v>14</v>
      </c>
    </row>
    <row r="45" spans="2:10">
      <c r="B45" s="352" t="s">
        <v>39</v>
      </c>
      <c r="C45" s="293">
        <v>21</v>
      </c>
      <c r="D45" s="353">
        <v>15</v>
      </c>
      <c r="E45" s="354">
        <v>16</v>
      </c>
      <c r="F45" s="178" t="s">
        <v>18</v>
      </c>
      <c r="G45" s="354">
        <v>10</v>
      </c>
      <c r="H45" s="353">
        <v>19</v>
      </c>
      <c r="I45" s="293">
        <v>1</v>
      </c>
      <c r="J45" s="355">
        <v>8</v>
      </c>
    </row>
    <row r="46" spans="2:10" ht="15.75">
      <c r="B46" s="328" t="s">
        <v>29</v>
      </c>
      <c r="C46" s="356">
        <v>92</v>
      </c>
      <c r="D46" s="356">
        <v>47</v>
      </c>
      <c r="E46" s="357">
        <v>82</v>
      </c>
      <c r="F46" s="358">
        <v>16</v>
      </c>
      <c r="G46" s="357">
        <v>38</v>
      </c>
      <c r="H46" s="359">
        <v>95</v>
      </c>
      <c r="I46" s="359">
        <v>10</v>
      </c>
      <c r="J46" s="359">
        <v>59</v>
      </c>
    </row>
    <row r="47" spans="2:10"/>
    <row r="48" spans="2:10"/>
    <row r="49"/>
  </sheetData>
  <mergeCells count="16">
    <mergeCell ref="B35:J35"/>
    <mergeCell ref="B36:B37"/>
    <mergeCell ref="C36:C37"/>
    <mergeCell ref="D36:D37"/>
    <mergeCell ref="E36:G36"/>
    <mergeCell ref="H36:J36"/>
    <mergeCell ref="B14:B15"/>
    <mergeCell ref="C14:C15"/>
    <mergeCell ref="D14:D15"/>
    <mergeCell ref="E14:G14"/>
    <mergeCell ref="H14:J14"/>
    <mergeCell ref="B5:K5"/>
    <mergeCell ref="B6:K6"/>
    <mergeCell ref="J8:K8"/>
    <mergeCell ref="B12:G12"/>
    <mergeCell ref="B13:J13"/>
  </mergeCells>
  <hyperlinks>
    <hyperlink ref="J8" location="capa!A1" display="Página Inicial" xr:uid="{00000000-0004-0000-0B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22"/>
  <sheetViews>
    <sheetView showGridLines="0" showRowColHeaders="0" zoomScale="80" zoomScaleNormal="80" workbookViewId="0">
      <selection activeCell="I8" sqref="I8"/>
    </sheetView>
  </sheetViews>
  <sheetFormatPr defaultColWidth="0" defaultRowHeight="15" zeroHeight="1"/>
  <cols>
    <col min="1" max="2" width="3.7109375" customWidth="1"/>
    <col min="3" max="3" width="22.7109375" customWidth="1"/>
    <col min="4" max="4" width="12" customWidth="1"/>
    <col min="5" max="5" width="11.85546875" customWidth="1"/>
    <col min="6" max="6" width="11.5703125" customWidth="1"/>
    <col min="7" max="7" width="11" customWidth="1"/>
    <col min="8" max="8" width="9.140625" customWidth="1"/>
    <col min="9" max="9" width="4.28515625" customWidth="1"/>
    <col min="10" max="10" width="9.140625" customWidth="1"/>
    <col min="11" max="11" width="3.28515625" customWidth="1"/>
    <col min="12" max="12" width="9.140625" customWidth="1"/>
    <col min="13" max="1025" width="9.140625" hidden="1" customWidth="1"/>
    <col min="1026" max="16384" width="9.140625" hidden="1"/>
  </cols>
  <sheetData>
    <row r="1" spans="2:11"/>
    <row r="2" spans="2:11"/>
    <row r="3" spans="2:11"/>
    <row r="4" spans="2:11"/>
    <row r="5" spans="2:11" ht="18.75">
      <c r="B5" s="12" t="s">
        <v>0</v>
      </c>
      <c r="C5" s="12"/>
      <c r="D5" s="12"/>
      <c r="E5" s="12"/>
      <c r="F5" s="12"/>
      <c r="G5" s="12"/>
      <c r="H5" s="12"/>
      <c r="I5" s="12"/>
      <c r="J5" s="12"/>
    </row>
    <row r="6" spans="2:11" ht="18.75">
      <c r="B6" s="12" t="s">
        <v>210</v>
      </c>
      <c r="C6" s="12"/>
      <c r="D6" s="12"/>
      <c r="E6" s="12"/>
      <c r="F6" s="12"/>
      <c r="G6" s="12"/>
      <c r="H6" s="12"/>
      <c r="I6" s="12"/>
      <c r="J6" s="12"/>
    </row>
    <row r="7" spans="2:11">
      <c r="B7" s="24"/>
      <c r="C7" s="24"/>
      <c r="D7" s="24"/>
      <c r="E7" s="25"/>
      <c r="F7" s="25"/>
      <c r="G7" s="25"/>
      <c r="H7" s="23"/>
      <c r="I7" s="23"/>
      <c r="J7" s="23"/>
    </row>
    <row r="8" spans="2:11" ht="16.5">
      <c r="B8" s="24"/>
      <c r="C8" s="24"/>
      <c r="D8" s="24"/>
      <c r="E8" s="25"/>
      <c r="F8" s="23"/>
      <c r="G8" s="23"/>
      <c r="H8" s="360"/>
      <c r="I8" s="30" t="s">
        <v>3</v>
      </c>
      <c r="J8" s="361"/>
    </row>
    <row r="9" spans="2:11"/>
    <row r="10" spans="2:11">
      <c r="C10" s="409"/>
      <c r="D10" s="409"/>
      <c r="E10" s="409"/>
      <c r="F10" s="409"/>
      <c r="G10" s="409"/>
      <c r="H10" s="409"/>
    </row>
    <row r="11" spans="2:11" ht="15.75" customHeight="1"/>
    <row r="12" spans="2:11" ht="22.5" customHeight="1">
      <c r="C12" s="391" t="s">
        <v>211</v>
      </c>
      <c r="D12" s="391"/>
      <c r="E12" s="391"/>
      <c r="F12" s="391"/>
      <c r="G12" s="391"/>
      <c r="H12" s="391"/>
      <c r="I12" s="391"/>
      <c r="J12" s="391"/>
      <c r="K12" s="391"/>
    </row>
    <row r="13" spans="2:11">
      <c r="C13" s="344" t="s">
        <v>212</v>
      </c>
      <c r="D13" s="362" t="s">
        <v>213</v>
      </c>
      <c r="E13" s="363" t="s">
        <v>214</v>
      </c>
      <c r="F13" s="364" t="s">
        <v>215</v>
      </c>
      <c r="G13" s="330" t="s">
        <v>216</v>
      </c>
      <c r="H13" s="248"/>
    </row>
    <row r="14" spans="2:11">
      <c r="C14" s="161" t="s">
        <v>217</v>
      </c>
      <c r="D14" s="365">
        <v>55</v>
      </c>
      <c r="E14" s="315">
        <v>60</v>
      </c>
      <c r="F14" s="365">
        <v>60</v>
      </c>
      <c r="G14" s="315">
        <v>60</v>
      </c>
      <c r="H14" s="248"/>
    </row>
    <row r="15" spans="2:11">
      <c r="C15" s="164" t="s">
        <v>218</v>
      </c>
      <c r="D15" s="314">
        <v>210</v>
      </c>
      <c r="E15" s="316">
        <v>217</v>
      </c>
      <c r="F15" s="314">
        <v>250</v>
      </c>
      <c r="G15" s="316">
        <v>250</v>
      </c>
      <c r="H15" s="248"/>
    </row>
    <row r="16" spans="2:11">
      <c r="C16" s="164" t="s">
        <v>219</v>
      </c>
      <c r="D16" s="314">
        <v>10</v>
      </c>
      <c r="E16" s="316">
        <v>9</v>
      </c>
      <c r="F16" s="314">
        <v>9</v>
      </c>
      <c r="G16" s="316">
        <v>9</v>
      </c>
      <c r="H16" s="248"/>
    </row>
    <row r="17" spans="3:8">
      <c r="C17" s="164" t="s">
        <v>220</v>
      </c>
      <c r="D17" s="314">
        <v>16</v>
      </c>
      <c r="E17" s="316">
        <v>16</v>
      </c>
      <c r="F17" s="314">
        <v>16</v>
      </c>
      <c r="G17" s="316">
        <v>16</v>
      </c>
      <c r="H17" s="248"/>
    </row>
    <row r="18" spans="3:8">
      <c r="C18" s="366" t="s">
        <v>29</v>
      </c>
      <c r="D18" s="367">
        <f>SUM(D14:D17)</f>
        <v>291</v>
      </c>
      <c r="E18" s="367">
        <f>SUM(E14:E17)</f>
        <v>302</v>
      </c>
      <c r="F18" s="367">
        <f>SUM(F14:F17)</f>
        <v>335</v>
      </c>
      <c r="G18" s="367">
        <f>SUM(G14:G17)</f>
        <v>335</v>
      </c>
    </row>
    <row r="19" spans="3:8">
      <c r="C19" s="368"/>
    </row>
    <row r="20" spans="3:8" ht="15.75">
      <c r="C20" s="306" t="s">
        <v>180</v>
      </c>
    </row>
    <row r="21" spans="3:8"/>
    <row r="22" spans="3:8"/>
  </sheetData>
  <mergeCells count="4">
    <mergeCell ref="B5:J5"/>
    <mergeCell ref="B6:J6"/>
    <mergeCell ref="C10:H10"/>
    <mergeCell ref="C12:K12"/>
  </mergeCells>
  <hyperlinks>
    <hyperlink ref="I8" location="capa!A1" display="Página Inicial" xr:uid="{00000000-0004-0000-0C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133"/>
  <sheetViews>
    <sheetView showGridLines="0" showRowColHeaders="0" zoomScale="80" zoomScaleNormal="80" workbookViewId="0">
      <selection activeCell="N7" sqref="N7"/>
    </sheetView>
  </sheetViews>
  <sheetFormatPr defaultColWidth="0" defaultRowHeight="15" zeroHeight="1"/>
  <cols>
    <col min="1" max="1" width="3.7109375" customWidth="1"/>
    <col min="2" max="2" width="23.42578125" customWidth="1"/>
    <col min="3" max="3" width="14" customWidth="1"/>
    <col min="4" max="4" width="12.140625" customWidth="1"/>
    <col min="5" max="5" width="13.28515625" customWidth="1"/>
    <col min="6" max="6" width="13" customWidth="1"/>
    <col min="7" max="7" width="13.85546875" customWidth="1"/>
    <col min="8" max="8" width="13.28515625" customWidth="1"/>
    <col min="9" max="9" width="14.140625" customWidth="1"/>
    <col min="10" max="10" width="14.5703125" customWidth="1"/>
    <col min="11" max="11" width="14.28515625" customWidth="1"/>
    <col min="12" max="12" width="14" style="20" customWidth="1"/>
    <col min="13" max="13" width="13.42578125" customWidth="1"/>
    <col min="14" max="14" width="11.85546875" customWidth="1"/>
    <col min="15" max="15" width="7.85546875" customWidth="1"/>
    <col min="16" max="16" width="3.42578125" customWidth="1"/>
    <col min="17" max="17" width="42.140625" style="20" hidden="1" customWidth="1"/>
    <col min="18" max="19" width="11.140625" hidden="1" customWidth="1"/>
    <col min="20" max="20" width="9.5703125" hidden="1" customWidth="1"/>
    <col min="21" max="21" width="8.140625" hidden="1" customWidth="1"/>
    <col min="22" max="22" width="11.28515625" hidden="1" customWidth="1"/>
    <col min="23" max="23" width="12.85546875" hidden="1" customWidth="1"/>
    <col min="24" max="24" width="16" hidden="1" customWidth="1"/>
    <col min="25" max="29" width="7.5703125" hidden="1" customWidth="1"/>
    <col min="30" max="1025" width="9.140625" hidden="1" customWidth="1"/>
    <col min="1026" max="1026" width="9.140625" customWidth="1"/>
    <col min="1027" max="16384" width="9.140625" hidden="1"/>
  </cols>
  <sheetData>
    <row r="1" spans="2:22" ht="15" customHeight="1"/>
    <row r="2" spans="2:22" ht="15" customHeight="1"/>
    <row r="3" spans="2:22" ht="15" customHeight="1"/>
    <row r="4" spans="2:22" ht="15" customHeight="1"/>
    <row r="5" spans="2:22" ht="15" customHeight="1"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  <c r="O5" s="21"/>
      <c r="P5" s="22"/>
      <c r="Q5" s="21"/>
      <c r="R5" s="21"/>
      <c r="S5" s="21"/>
      <c r="T5" s="21"/>
      <c r="U5" s="23"/>
      <c r="V5" s="23"/>
    </row>
    <row r="6" spans="2:22" ht="15" customHeight="1">
      <c r="B6" s="12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1"/>
      <c r="O6" s="21"/>
      <c r="P6" s="22"/>
      <c r="Q6" s="21"/>
      <c r="R6" s="21"/>
      <c r="S6" s="21"/>
      <c r="T6" s="21"/>
      <c r="U6" s="21"/>
      <c r="V6" s="23"/>
    </row>
    <row r="7" spans="2:22" ht="15" customHeight="1">
      <c r="B7" s="24"/>
      <c r="C7" s="24"/>
      <c r="D7" s="24"/>
      <c r="E7" s="24"/>
      <c r="F7" s="24"/>
      <c r="G7" s="25"/>
      <c r="H7" s="25"/>
      <c r="I7" s="23"/>
      <c r="J7" s="23"/>
      <c r="K7" s="23"/>
      <c r="L7" s="26"/>
      <c r="M7" s="23"/>
      <c r="N7" s="27" t="s">
        <v>2</v>
      </c>
      <c r="O7" s="23"/>
      <c r="P7" s="28"/>
      <c r="Q7" s="29"/>
      <c r="R7" s="29"/>
      <c r="S7" s="25"/>
      <c r="T7" s="30"/>
      <c r="V7" s="30"/>
    </row>
    <row r="8" spans="2:22" ht="15" customHeight="1">
      <c r="B8" s="24"/>
      <c r="C8" s="24"/>
      <c r="D8" s="24"/>
      <c r="E8" s="24"/>
      <c r="F8" s="24"/>
      <c r="G8" s="25"/>
      <c r="H8" s="25"/>
      <c r="I8" s="23"/>
      <c r="J8" s="23"/>
      <c r="K8" s="23"/>
      <c r="L8" s="26"/>
      <c r="M8" s="23"/>
      <c r="N8" s="31" t="s">
        <v>3</v>
      </c>
      <c r="O8" s="23"/>
      <c r="P8" s="32"/>
      <c r="Q8" s="26"/>
      <c r="R8" s="23"/>
      <c r="S8" s="25"/>
      <c r="T8" s="33"/>
      <c r="V8" s="30"/>
    </row>
    <row r="9" spans="2:22" ht="15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34"/>
      <c r="M9" s="18"/>
      <c r="V9" s="20"/>
    </row>
    <row r="10" spans="2:22" ht="1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34"/>
      <c r="M10" s="18"/>
      <c r="O10" s="35"/>
      <c r="P10" s="35"/>
      <c r="Q10" s="36"/>
      <c r="R10" s="35"/>
      <c r="S10" s="35"/>
      <c r="T10" s="35"/>
      <c r="U10" s="35"/>
      <c r="V10" s="36"/>
    </row>
    <row r="11" spans="2:22" ht="15" customHeight="1">
      <c r="B11" s="37" t="s">
        <v>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8"/>
      <c r="O11" s="35"/>
      <c r="P11" s="39"/>
      <c r="Q11" s="39"/>
      <c r="R11" s="39"/>
      <c r="S11" s="39"/>
      <c r="T11" s="39"/>
      <c r="U11" s="39"/>
      <c r="V11" s="39"/>
    </row>
    <row r="12" spans="2:22" ht="1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O12" s="35"/>
      <c r="P12" s="41"/>
      <c r="Q12" s="41"/>
      <c r="R12" s="41"/>
      <c r="S12" s="41"/>
      <c r="T12" s="41"/>
      <c r="U12" s="41"/>
      <c r="V12" s="36"/>
    </row>
    <row r="13" spans="2:22" ht="15" customHeight="1">
      <c r="M13" s="18"/>
      <c r="P13" s="11"/>
      <c r="Q13" s="11"/>
      <c r="R13" s="11"/>
      <c r="S13" s="11"/>
      <c r="T13" s="11"/>
      <c r="U13" s="11"/>
      <c r="V13" s="11"/>
    </row>
    <row r="14" spans="2:22" ht="33" customHeight="1">
      <c r="B14" s="10" t="s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22" ht="20.25" customHeight="1">
      <c r="B15" s="9" t="s">
        <v>6</v>
      </c>
      <c r="C15" s="8" t="s">
        <v>7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22" ht="20.25" customHeight="1">
      <c r="B16" s="9"/>
      <c r="C16" s="7">
        <v>2016</v>
      </c>
      <c r="D16" s="7"/>
      <c r="E16" s="7">
        <v>2017</v>
      </c>
      <c r="F16" s="7"/>
      <c r="G16" s="7">
        <v>2018</v>
      </c>
      <c r="H16" s="7"/>
      <c r="I16" s="7">
        <v>2019</v>
      </c>
      <c r="J16" s="7"/>
      <c r="K16" s="6" t="s">
        <v>8</v>
      </c>
      <c r="L16" s="6"/>
      <c r="M16" s="6"/>
      <c r="Q16"/>
    </row>
    <row r="17" spans="2:13" ht="30.75" customHeight="1">
      <c r="B17" s="9"/>
      <c r="C17" s="43" t="s">
        <v>9</v>
      </c>
      <c r="D17" s="43" t="s">
        <v>10</v>
      </c>
      <c r="E17" s="43" t="s">
        <v>9</v>
      </c>
      <c r="F17" s="43" t="s">
        <v>10</v>
      </c>
      <c r="G17" s="43" t="s">
        <v>9</v>
      </c>
      <c r="H17" s="43" t="s">
        <v>10</v>
      </c>
      <c r="I17" s="43" t="s">
        <v>9</v>
      </c>
      <c r="J17" s="43" t="s">
        <v>10</v>
      </c>
      <c r="K17" s="44" t="s">
        <v>11</v>
      </c>
      <c r="L17" s="45" t="s">
        <v>12</v>
      </c>
      <c r="M17" s="42" t="s">
        <v>10</v>
      </c>
    </row>
    <row r="18" spans="2:13" ht="15" customHeight="1">
      <c r="B18" s="46" t="s">
        <v>13</v>
      </c>
      <c r="C18" s="47">
        <v>5</v>
      </c>
      <c r="D18" s="48">
        <v>2</v>
      </c>
      <c r="E18" s="47">
        <v>12</v>
      </c>
      <c r="F18" s="49">
        <v>3</v>
      </c>
      <c r="G18" s="47">
        <v>9</v>
      </c>
      <c r="H18" s="50">
        <v>4</v>
      </c>
      <c r="I18" s="51">
        <v>12</v>
      </c>
      <c r="J18" s="52">
        <v>1</v>
      </c>
      <c r="K18" s="51"/>
      <c r="L18" s="53"/>
      <c r="M18" s="54"/>
    </row>
    <row r="19" spans="2:13" ht="15" customHeight="1">
      <c r="B19" s="55" t="s">
        <v>14</v>
      </c>
      <c r="C19" s="56">
        <v>36</v>
      </c>
      <c r="D19" s="57">
        <v>17</v>
      </c>
      <c r="E19" s="56">
        <v>28</v>
      </c>
      <c r="F19" s="49">
        <v>10</v>
      </c>
      <c r="G19" s="56">
        <v>32</v>
      </c>
      <c r="H19" s="58">
        <v>3</v>
      </c>
      <c r="I19" s="59">
        <v>29</v>
      </c>
      <c r="J19" s="52">
        <v>9</v>
      </c>
      <c r="K19" s="59"/>
      <c r="L19" s="60"/>
      <c r="M19" s="61"/>
    </row>
    <row r="20" spans="2:13" ht="15" customHeight="1">
      <c r="B20" s="55" t="s">
        <v>15</v>
      </c>
      <c r="C20" s="56">
        <v>57</v>
      </c>
      <c r="D20" s="57">
        <v>9</v>
      </c>
      <c r="E20" s="56">
        <v>37</v>
      </c>
      <c r="F20" s="49">
        <v>16</v>
      </c>
      <c r="G20" s="56">
        <v>41</v>
      </c>
      <c r="H20" s="58">
        <v>13</v>
      </c>
      <c r="I20" s="59">
        <v>50</v>
      </c>
      <c r="J20" s="52">
        <v>5</v>
      </c>
      <c r="K20" s="59"/>
      <c r="L20" s="60"/>
      <c r="M20" s="62"/>
    </row>
    <row r="21" spans="2:13" s="63" customFormat="1" ht="15" customHeight="1">
      <c r="B21" s="55" t="s">
        <v>16</v>
      </c>
      <c r="C21" s="56">
        <v>21</v>
      </c>
      <c r="D21" s="57">
        <v>4</v>
      </c>
      <c r="E21" s="56">
        <v>17</v>
      </c>
      <c r="F21" s="49">
        <v>7</v>
      </c>
      <c r="G21" s="56">
        <v>17</v>
      </c>
      <c r="H21" s="58">
        <v>5</v>
      </c>
      <c r="I21" s="59">
        <v>21</v>
      </c>
      <c r="J21" s="52">
        <v>1</v>
      </c>
      <c r="K21" s="59"/>
      <c r="L21" s="60"/>
      <c r="M21" s="64"/>
    </row>
    <row r="22" spans="2:13" ht="15" customHeight="1">
      <c r="B22" s="55" t="s">
        <v>17</v>
      </c>
      <c r="C22" s="56">
        <v>3</v>
      </c>
      <c r="D22" s="57" t="s">
        <v>18</v>
      </c>
      <c r="E22" s="56">
        <v>3</v>
      </c>
      <c r="F22" s="49">
        <v>1</v>
      </c>
      <c r="G22" s="56">
        <v>2</v>
      </c>
      <c r="H22" s="58">
        <v>3</v>
      </c>
      <c r="I22" s="59">
        <v>3</v>
      </c>
      <c r="J22" s="57" t="s">
        <v>18</v>
      </c>
      <c r="K22" s="59"/>
      <c r="L22" s="60"/>
      <c r="M22" s="62"/>
    </row>
    <row r="23" spans="2:13" ht="21" customHeight="1">
      <c r="B23" s="55" t="s">
        <v>19</v>
      </c>
      <c r="C23" s="56">
        <v>160</v>
      </c>
      <c r="D23" s="57">
        <v>13</v>
      </c>
      <c r="E23" s="56">
        <v>105</v>
      </c>
      <c r="F23" s="49">
        <v>33</v>
      </c>
      <c r="G23" s="56">
        <v>97</v>
      </c>
      <c r="H23" s="58">
        <v>32</v>
      </c>
      <c r="I23" s="59">
        <v>97</v>
      </c>
      <c r="J23" s="52">
        <v>17</v>
      </c>
      <c r="K23" s="59"/>
      <c r="L23" s="60"/>
      <c r="M23" s="62"/>
    </row>
    <row r="24" spans="2:13" ht="15" customHeight="1">
      <c r="B24" s="55" t="s">
        <v>20</v>
      </c>
      <c r="C24" s="56">
        <v>4</v>
      </c>
      <c r="D24" s="57">
        <v>2</v>
      </c>
      <c r="E24" s="56">
        <v>5</v>
      </c>
      <c r="F24" s="49">
        <v>1</v>
      </c>
      <c r="G24" s="56">
        <v>3</v>
      </c>
      <c r="H24" s="58">
        <v>2</v>
      </c>
      <c r="I24" s="59">
        <v>3</v>
      </c>
      <c r="J24" s="52">
        <v>1</v>
      </c>
      <c r="K24" s="59"/>
      <c r="L24" s="60"/>
      <c r="M24" s="62"/>
    </row>
    <row r="25" spans="2:13" ht="15" customHeight="1">
      <c r="B25" s="55" t="s">
        <v>21</v>
      </c>
      <c r="C25" s="56">
        <v>2</v>
      </c>
      <c r="D25" s="57">
        <v>1</v>
      </c>
      <c r="E25" s="56">
        <v>4</v>
      </c>
      <c r="F25" s="49" t="s">
        <v>18</v>
      </c>
      <c r="G25" s="56">
        <v>3</v>
      </c>
      <c r="H25" s="58">
        <v>1</v>
      </c>
      <c r="I25" s="59">
        <v>3</v>
      </c>
      <c r="J25" s="57" t="s">
        <v>18</v>
      </c>
      <c r="K25" s="59"/>
      <c r="L25" s="60"/>
      <c r="M25" s="62"/>
    </row>
    <row r="26" spans="2:13" ht="15" customHeight="1">
      <c r="B26" s="55" t="s">
        <v>22</v>
      </c>
      <c r="C26" s="56">
        <v>15</v>
      </c>
      <c r="D26" s="57">
        <v>2</v>
      </c>
      <c r="E26" s="56">
        <v>10</v>
      </c>
      <c r="F26" s="49">
        <v>4</v>
      </c>
      <c r="G26" s="56">
        <v>4</v>
      </c>
      <c r="H26" s="58">
        <v>5</v>
      </c>
      <c r="I26" s="59">
        <v>8</v>
      </c>
      <c r="J26" s="52">
        <v>1</v>
      </c>
      <c r="K26" s="59"/>
      <c r="L26" s="60"/>
      <c r="M26" s="62"/>
    </row>
    <row r="27" spans="2:13" ht="15" customHeight="1">
      <c r="B27" s="55" t="s">
        <v>23</v>
      </c>
      <c r="C27" s="56">
        <v>3</v>
      </c>
      <c r="D27" s="57">
        <v>2</v>
      </c>
      <c r="E27" s="65" t="s">
        <v>18</v>
      </c>
      <c r="F27" s="49" t="s">
        <v>18</v>
      </c>
      <c r="G27" s="65" t="s">
        <v>18</v>
      </c>
      <c r="H27" s="58" t="s">
        <v>18</v>
      </c>
      <c r="I27" s="65" t="s">
        <v>18</v>
      </c>
      <c r="J27" s="57" t="s">
        <v>18</v>
      </c>
      <c r="K27" s="65"/>
      <c r="L27" s="60"/>
      <c r="M27" s="62"/>
    </row>
    <row r="28" spans="2:13" ht="15" customHeight="1">
      <c r="B28" s="55" t="s">
        <v>24</v>
      </c>
      <c r="C28" s="56">
        <v>9</v>
      </c>
      <c r="D28" s="57">
        <v>2</v>
      </c>
      <c r="E28" s="56">
        <v>9</v>
      </c>
      <c r="F28" s="49" t="s">
        <v>18</v>
      </c>
      <c r="G28" s="56">
        <v>6</v>
      </c>
      <c r="H28" s="58">
        <v>3</v>
      </c>
      <c r="I28" s="59">
        <v>7</v>
      </c>
      <c r="J28" s="52">
        <v>2</v>
      </c>
      <c r="K28" s="59"/>
      <c r="L28" s="60"/>
      <c r="M28" s="62"/>
    </row>
    <row r="29" spans="2:13" ht="15" customHeight="1">
      <c r="B29" s="55" t="s">
        <v>25</v>
      </c>
      <c r="C29" s="56">
        <v>18</v>
      </c>
      <c r="D29" s="57">
        <v>4</v>
      </c>
      <c r="E29" s="56">
        <v>12</v>
      </c>
      <c r="F29" s="49">
        <v>4</v>
      </c>
      <c r="G29" s="56">
        <v>12</v>
      </c>
      <c r="H29" s="58">
        <v>3</v>
      </c>
      <c r="I29" s="59">
        <v>12</v>
      </c>
      <c r="J29" s="52">
        <v>3</v>
      </c>
      <c r="K29" s="59"/>
      <c r="L29" s="60"/>
      <c r="M29" s="62"/>
    </row>
    <row r="30" spans="2:13" ht="15" customHeight="1">
      <c r="B30" s="55" t="s">
        <v>26</v>
      </c>
      <c r="C30" s="56">
        <v>7</v>
      </c>
      <c r="D30" s="57">
        <v>3</v>
      </c>
      <c r="E30" s="56">
        <v>5</v>
      </c>
      <c r="F30" s="49">
        <v>4</v>
      </c>
      <c r="G30" s="56">
        <v>7</v>
      </c>
      <c r="H30" s="58" t="s">
        <v>18</v>
      </c>
      <c r="I30" s="59">
        <v>9</v>
      </c>
      <c r="J30" s="52">
        <v>1</v>
      </c>
      <c r="K30" s="59"/>
      <c r="L30" s="60"/>
      <c r="M30" s="62"/>
    </row>
    <row r="31" spans="2:13" ht="15" customHeight="1">
      <c r="B31" s="55" t="s">
        <v>27</v>
      </c>
      <c r="C31" s="56">
        <v>31</v>
      </c>
      <c r="D31" s="57">
        <v>4</v>
      </c>
      <c r="E31" s="56">
        <v>27</v>
      </c>
      <c r="F31" s="49">
        <v>11</v>
      </c>
      <c r="G31" s="56">
        <v>30</v>
      </c>
      <c r="H31" s="58">
        <v>7</v>
      </c>
      <c r="I31" s="59">
        <v>33</v>
      </c>
      <c r="J31" s="52">
        <v>5</v>
      </c>
      <c r="K31" s="59"/>
      <c r="L31" s="60"/>
      <c r="M31" s="62"/>
    </row>
    <row r="32" spans="2:13" ht="15" customHeight="1">
      <c r="B32" s="55" t="s">
        <v>28</v>
      </c>
      <c r="C32" s="66">
        <v>9</v>
      </c>
      <c r="D32" s="57">
        <v>4</v>
      </c>
      <c r="E32" s="66">
        <v>12</v>
      </c>
      <c r="F32" s="49">
        <v>4</v>
      </c>
      <c r="G32" s="66">
        <v>9</v>
      </c>
      <c r="H32" s="67">
        <v>2</v>
      </c>
      <c r="I32" s="68">
        <v>8</v>
      </c>
      <c r="J32" s="52">
        <v>1</v>
      </c>
      <c r="K32" s="68"/>
      <c r="L32" s="69"/>
      <c r="M32" s="62"/>
    </row>
    <row r="33" spans="2:17" ht="15" customHeight="1">
      <c r="B33" s="70" t="s">
        <v>29</v>
      </c>
      <c r="C33" s="71">
        <f t="shared" ref="C33:J33" si="0">SUM(C18:C32)</f>
        <v>380</v>
      </c>
      <c r="D33" s="71">
        <f t="shared" si="0"/>
        <v>69</v>
      </c>
      <c r="E33" s="71">
        <f t="shared" si="0"/>
        <v>286</v>
      </c>
      <c r="F33" s="71">
        <f t="shared" si="0"/>
        <v>98</v>
      </c>
      <c r="G33" s="71">
        <f t="shared" si="0"/>
        <v>272</v>
      </c>
      <c r="H33" s="71">
        <f t="shared" si="0"/>
        <v>83</v>
      </c>
      <c r="I33" s="71">
        <f t="shared" si="0"/>
        <v>295</v>
      </c>
      <c r="J33" s="71">
        <f t="shared" si="0"/>
        <v>47</v>
      </c>
      <c r="K33" s="71"/>
      <c r="L33" s="71"/>
      <c r="M33" s="72"/>
    </row>
    <row r="34" spans="2:17" ht="15" customHeight="1">
      <c r="M34" s="18"/>
    </row>
    <row r="35" spans="2:17" ht="15" customHeight="1">
      <c r="M35" s="18"/>
    </row>
    <row r="36" spans="2:17" ht="32.25" customHeight="1"/>
    <row r="37" spans="2:17" ht="15" customHeight="1">
      <c r="B37" s="10" t="s">
        <v>30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7" ht="15" customHeight="1">
      <c r="B38" s="6" t="s">
        <v>31</v>
      </c>
      <c r="C38" s="5" t="s">
        <v>7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7" ht="15" customHeight="1">
      <c r="B39" s="6"/>
      <c r="C39" s="6">
        <v>2016</v>
      </c>
      <c r="D39" s="6"/>
      <c r="E39" s="6">
        <v>2017</v>
      </c>
      <c r="F39" s="6"/>
      <c r="G39" s="6">
        <v>2018</v>
      </c>
      <c r="H39" s="6"/>
      <c r="I39" s="6">
        <v>2019</v>
      </c>
      <c r="J39" s="6"/>
      <c r="K39" s="5" t="s">
        <v>8</v>
      </c>
      <c r="L39" s="5"/>
      <c r="M39" s="5"/>
    </row>
    <row r="40" spans="2:17" ht="28.5" customHeight="1">
      <c r="B40" s="6"/>
      <c r="C40" s="43" t="s">
        <v>9</v>
      </c>
      <c r="D40" s="43" t="s">
        <v>10</v>
      </c>
      <c r="E40" s="43" t="s">
        <v>9</v>
      </c>
      <c r="F40" s="43" t="s">
        <v>10</v>
      </c>
      <c r="G40" s="43" t="s">
        <v>9</v>
      </c>
      <c r="H40" s="43" t="s">
        <v>10</v>
      </c>
      <c r="I40" s="43" t="s">
        <v>9</v>
      </c>
      <c r="J40" s="43" t="s">
        <v>10</v>
      </c>
      <c r="K40" s="44" t="s">
        <v>11</v>
      </c>
      <c r="L40" s="45" t="s">
        <v>12</v>
      </c>
      <c r="M40" s="42" t="s">
        <v>10</v>
      </c>
    </row>
    <row r="41" spans="2:17" ht="15.75" customHeight="1">
      <c r="B41" s="46" t="s">
        <v>32</v>
      </c>
      <c r="C41" s="47">
        <v>70</v>
      </c>
      <c r="D41" s="57">
        <v>11</v>
      </c>
      <c r="E41" s="47">
        <v>51</v>
      </c>
      <c r="F41" s="48">
        <v>20</v>
      </c>
      <c r="G41" s="47">
        <v>52</v>
      </c>
      <c r="H41" s="48">
        <v>16</v>
      </c>
      <c r="I41" s="47">
        <v>57</v>
      </c>
      <c r="J41" s="73">
        <v>8</v>
      </c>
      <c r="K41" s="47"/>
      <c r="L41" s="74"/>
      <c r="M41" s="75"/>
    </row>
    <row r="42" spans="2:17" ht="15" customHeight="1">
      <c r="B42" s="76" t="s">
        <v>33</v>
      </c>
      <c r="C42" s="57">
        <v>27</v>
      </c>
      <c r="D42" s="57">
        <v>5</v>
      </c>
      <c r="E42" s="57">
        <v>25</v>
      </c>
      <c r="F42" s="57">
        <v>4</v>
      </c>
      <c r="G42" s="57">
        <v>25</v>
      </c>
      <c r="H42" s="57">
        <v>8</v>
      </c>
      <c r="I42" s="52">
        <v>20</v>
      </c>
      <c r="J42" s="52">
        <v>4</v>
      </c>
      <c r="K42" s="52"/>
      <c r="L42" s="77"/>
      <c r="M42" s="61"/>
    </row>
    <row r="43" spans="2:17" ht="12" customHeight="1">
      <c r="B43" s="76" t="s">
        <v>34</v>
      </c>
      <c r="C43" s="57">
        <v>12</v>
      </c>
      <c r="D43" s="57" t="s">
        <v>18</v>
      </c>
      <c r="E43" s="57">
        <v>8</v>
      </c>
      <c r="F43" s="57">
        <v>1</v>
      </c>
      <c r="G43" s="57">
        <v>6</v>
      </c>
      <c r="H43" s="57">
        <v>4</v>
      </c>
      <c r="I43" s="52">
        <v>8</v>
      </c>
      <c r="J43" s="52">
        <v>2</v>
      </c>
      <c r="K43" s="52"/>
      <c r="L43" s="77"/>
      <c r="M43" s="61"/>
      <c r="Q43"/>
    </row>
    <row r="44" spans="2:17" ht="12" customHeight="1">
      <c r="B44" s="76" t="s">
        <v>35</v>
      </c>
      <c r="C44" s="57">
        <v>19</v>
      </c>
      <c r="D44" s="57">
        <v>1</v>
      </c>
      <c r="E44" s="57">
        <v>13</v>
      </c>
      <c r="F44" s="57">
        <v>2</v>
      </c>
      <c r="G44" s="57">
        <v>18</v>
      </c>
      <c r="H44" s="57">
        <v>3</v>
      </c>
      <c r="I44" s="52">
        <v>19</v>
      </c>
      <c r="J44" s="52">
        <v>3</v>
      </c>
      <c r="K44" s="52"/>
      <c r="L44" s="77"/>
      <c r="M44" s="61"/>
    </row>
    <row r="45" spans="2:17" ht="15" customHeight="1">
      <c r="B45" s="76" t="s">
        <v>36</v>
      </c>
      <c r="C45" s="57">
        <v>61</v>
      </c>
      <c r="D45" s="57">
        <v>21</v>
      </c>
      <c r="E45" s="57">
        <v>47</v>
      </c>
      <c r="F45" s="57">
        <v>15</v>
      </c>
      <c r="G45" s="57">
        <v>46</v>
      </c>
      <c r="H45" s="57">
        <v>7</v>
      </c>
      <c r="I45" s="52">
        <v>49</v>
      </c>
      <c r="J45" s="52">
        <v>11</v>
      </c>
      <c r="K45" s="52"/>
      <c r="L45" s="77"/>
      <c r="M45" s="61"/>
    </row>
    <row r="46" spans="2:17" ht="15" customHeight="1">
      <c r="B46" s="76" t="s">
        <v>37</v>
      </c>
      <c r="C46" s="57">
        <v>59</v>
      </c>
      <c r="D46" s="57">
        <v>12</v>
      </c>
      <c r="E46" s="57">
        <v>49</v>
      </c>
      <c r="F46" s="57">
        <v>17</v>
      </c>
      <c r="G46" s="57">
        <v>37</v>
      </c>
      <c r="H46" s="57">
        <v>10</v>
      </c>
      <c r="I46" s="52">
        <v>36</v>
      </c>
      <c r="J46" s="52">
        <v>9</v>
      </c>
      <c r="K46" s="52"/>
      <c r="L46" s="77"/>
      <c r="M46" s="61"/>
    </row>
    <row r="47" spans="2:17" ht="15" customHeight="1">
      <c r="B47" s="76" t="s">
        <v>38</v>
      </c>
      <c r="C47" s="57">
        <v>65</v>
      </c>
      <c r="D47" s="57">
        <v>10</v>
      </c>
      <c r="E47" s="57">
        <v>51</v>
      </c>
      <c r="F47" s="57">
        <v>22</v>
      </c>
      <c r="G47" s="57">
        <v>58</v>
      </c>
      <c r="H47" s="57">
        <v>8</v>
      </c>
      <c r="I47" s="52">
        <v>69</v>
      </c>
      <c r="J47" s="52">
        <v>5</v>
      </c>
      <c r="K47" s="52"/>
      <c r="L47" s="77"/>
      <c r="M47" s="61"/>
    </row>
    <row r="48" spans="2:17" ht="15" customHeight="1">
      <c r="B48" s="78" t="s">
        <v>39</v>
      </c>
      <c r="C48" s="79">
        <v>67</v>
      </c>
      <c r="D48" s="57">
        <v>9</v>
      </c>
      <c r="E48" s="79">
        <v>42</v>
      </c>
      <c r="F48" s="79">
        <v>17</v>
      </c>
      <c r="G48" s="79">
        <v>30</v>
      </c>
      <c r="H48" s="79">
        <v>27</v>
      </c>
      <c r="I48" s="80">
        <v>37</v>
      </c>
      <c r="J48" s="80">
        <v>5</v>
      </c>
      <c r="K48" s="80"/>
      <c r="L48" s="81"/>
      <c r="M48" s="82"/>
    </row>
    <row r="49" spans="2:17" ht="15" customHeight="1">
      <c r="B49" s="83" t="s">
        <v>29</v>
      </c>
      <c r="C49" s="84">
        <f t="shared" ref="C49:J49" si="1">SUM(C41:C48)</f>
        <v>380</v>
      </c>
      <c r="D49" s="84">
        <f t="shared" si="1"/>
        <v>69</v>
      </c>
      <c r="E49" s="84">
        <f t="shared" si="1"/>
        <v>286</v>
      </c>
      <c r="F49" s="84">
        <f t="shared" si="1"/>
        <v>98</v>
      </c>
      <c r="G49" s="84">
        <f t="shared" si="1"/>
        <v>272</v>
      </c>
      <c r="H49" s="84">
        <f t="shared" si="1"/>
        <v>83</v>
      </c>
      <c r="I49" s="84">
        <f t="shared" si="1"/>
        <v>295</v>
      </c>
      <c r="J49" s="84">
        <f t="shared" si="1"/>
        <v>47</v>
      </c>
      <c r="K49" s="84"/>
      <c r="L49" s="85"/>
      <c r="M49" s="86"/>
    </row>
    <row r="50" spans="2:17" ht="15" customHeight="1"/>
    <row r="51" spans="2:17" ht="15" customHeight="1">
      <c r="B51" s="87" t="s">
        <v>40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2:17" ht="15" customHeight="1">
      <c r="B52" s="4" t="s">
        <v>41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7" ht="15" customHeight="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7" ht="15" customHeight="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7" ht="15" customHeight="1"/>
    <row r="56" spans="2:17" ht="15" customHeight="1">
      <c r="B56" s="3" t="s">
        <v>42</v>
      </c>
      <c r="C56" s="3"/>
      <c r="D56" s="3"/>
      <c r="E56" s="3"/>
      <c r="F56" s="3"/>
      <c r="G56" s="3"/>
      <c r="H56" s="3"/>
      <c r="I56" s="3"/>
      <c r="J56" s="3"/>
      <c r="P56" s="35"/>
      <c r="Q56" s="36"/>
    </row>
    <row r="57" spans="2:17" ht="15" customHeight="1">
      <c r="B57" s="2" t="s">
        <v>43</v>
      </c>
      <c r="C57" s="6" t="s">
        <v>44</v>
      </c>
      <c r="D57" s="6"/>
      <c r="E57" s="1" t="s">
        <v>7</v>
      </c>
      <c r="F57" s="1"/>
      <c r="G57" s="1"/>
      <c r="H57" s="1"/>
      <c r="I57" s="1"/>
      <c r="J57" s="1"/>
      <c r="K57" s="1"/>
      <c r="L57" s="89"/>
      <c r="M57" s="89"/>
      <c r="N57" s="89"/>
      <c r="O57" s="89"/>
      <c r="P57" s="89"/>
      <c r="Q57" s="89"/>
    </row>
    <row r="58" spans="2:17" ht="15" customHeight="1">
      <c r="B58" s="2"/>
      <c r="C58" s="6"/>
      <c r="D58" s="6"/>
      <c r="E58" s="42">
        <v>2016</v>
      </c>
      <c r="F58" s="42">
        <v>2017</v>
      </c>
      <c r="G58" s="42">
        <v>2018</v>
      </c>
      <c r="H58" s="42">
        <v>2019</v>
      </c>
      <c r="I58" s="6" t="s">
        <v>8</v>
      </c>
      <c r="J58" s="6"/>
      <c r="K58" s="6"/>
      <c r="L58" s="90"/>
      <c r="M58" s="35"/>
      <c r="N58" s="35"/>
      <c r="O58" s="35"/>
      <c r="P58" s="35"/>
      <c r="Q58" s="36"/>
    </row>
    <row r="59" spans="2:17" ht="28.5" customHeight="1">
      <c r="B59" s="2"/>
      <c r="C59" s="6"/>
      <c r="D59" s="6"/>
      <c r="E59" s="43" t="s">
        <v>9</v>
      </c>
      <c r="F59" s="43" t="s">
        <v>9</v>
      </c>
      <c r="G59" s="43" t="s">
        <v>9</v>
      </c>
      <c r="H59" s="43" t="s">
        <v>9</v>
      </c>
      <c r="I59" s="45" t="s">
        <v>11</v>
      </c>
      <c r="J59" s="45" t="s">
        <v>12</v>
      </c>
      <c r="K59" s="42" t="s">
        <v>10</v>
      </c>
      <c r="L59" s="90"/>
      <c r="M59" s="35"/>
      <c r="N59" s="35"/>
      <c r="O59" s="35"/>
      <c r="P59" s="35"/>
    </row>
    <row r="60" spans="2:17" ht="16.5" customHeight="1">
      <c r="B60" s="369" t="s">
        <v>13</v>
      </c>
      <c r="C60" s="370" t="s">
        <v>45</v>
      </c>
      <c r="D60" s="370"/>
      <c r="E60" s="371">
        <v>5</v>
      </c>
      <c r="F60" s="47">
        <v>6</v>
      </c>
      <c r="G60" s="92">
        <v>3</v>
      </c>
      <c r="H60" s="47">
        <v>3</v>
      </c>
      <c r="I60" s="61"/>
      <c r="J60" s="75"/>
      <c r="K60" s="61"/>
      <c r="L60" s="36"/>
      <c r="M60" s="93"/>
      <c r="N60" s="35"/>
      <c r="O60" s="35"/>
      <c r="P60" s="35"/>
    </row>
    <row r="61" spans="2:17" ht="15" customHeight="1">
      <c r="B61" s="369"/>
      <c r="C61" s="370" t="s">
        <v>46</v>
      </c>
      <c r="D61" s="370"/>
      <c r="E61" s="371"/>
      <c r="F61" s="56">
        <v>6</v>
      </c>
      <c r="G61" s="94">
        <v>6</v>
      </c>
      <c r="H61" s="56">
        <v>9</v>
      </c>
      <c r="I61" s="61"/>
      <c r="J61" s="61"/>
      <c r="K61" s="61"/>
      <c r="L61" s="36"/>
      <c r="M61" s="93"/>
      <c r="N61" s="35"/>
      <c r="O61" s="35"/>
      <c r="P61" s="35"/>
    </row>
    <row r="62" spans="2:17" ht="26.25" customHeight="1">
      <c r="B62" s="369" t="s">
        <v>14</v>
      </c>
      <c r="C62" s="372" t="s">
        <v>47</v>
      </c>
      <c r="D62" s="372"/>
      <c r="E62" s="373">
        <v>36</v>
      </c>
      <c r="F62" s="95">
        <v>7</v>
      </c>
      <c r="G62" s="96">
        <v>10</v>
      </c>
      <c r="H62" s="95">
        <v>12</v>
      </c>
      <c r="I62" s="61"/>
      <c r="J62" s="61"/>
      <c r="K62" s="61"/>
      <c r="L62" s="36"/>
      <c r="M62" s="93"/>
      <c r="N62" s="35"/>
      <c r="O62" s="35"/>
      <c r="P62" s="35"/>
    </row>
    <row r="63" spans="2:17" ht="15" customHeight="1">
      <c r="B63" s="369"/>
      <c r="C63" s="370" t="s">
        <v>48</v>
      </c>
      <c r="D63" s="370"/>
      <c r="E63" s="373"/>
      <c r="F63" s="56">
        <v>3</v>
      </c>
      <c r="G63" s="94">
        <v>4</v>
      </c>
      <c r="H63" s="56">
        <v>6</v>
      </c>
      <c r="I63" s="61"/>
      <c r="J63" s="61"/>
      <c r="K63" s="61"/>
      <c r="L63" s="36"/>
      <c r="M63" s="93"/>
      <c r="N63" s="97"/>
      <c r="O63" s="97"/>
      <c r="P63" s="35"/>
    </row>
    <row r="64" spans="2:17" ht="15" customHeight="1">
      <c r="B64" s="369"/>
      <c r="C64" s="370" t="s">
        <v>49</v>
      </c>
      <c r="D64" s="370"/>
      <c r="E64" s="373"/>
      <c r="F64" s="56">
        <v>18</v>
      </c>
      <c r="G64" s="94">
        <v>17</v>
      </c>
      <c r="H64" s="56">
        <v>11</v>
      </c>
      <c r="I64" s="61"/>
      <c r="J64" s="61"/>
      <c r="K64" s="61"/>
      <c r="L64" s="36"/>
      <c r="M64" s="93"/>
      <c r="N64" s="35"/>
      <c r="O64" s="35"/>
      <c r="P64" s="35"/>
    </row>
    <row r="65" spans="2:16" ht="52.5" customHeight="1">
      <c r="B65" s="369"/>
      <c r="C65" s="374" t="s">
        <v>50</v>
      </c>
      <c r="D65" s="374"/>
      <c r="E65" s="373"/>
      <c r="F65" s="65" t="s">
        <v>18</v>
      </c>
      <c r="G65" s="94">
        <v>1</v>
      </c>
      <c r="H65" s="56">
        <v>1</v>
      </c>
      <c r="I65" s="61"/>
      <c r="J65" s="61"/>
      <c r="K65" s="61"/>
      <c r="L65" s="36"/>
      <c r="M65" s="93"/>
      <c r="N65" s="35"/>
      <c r="O65" s="35"/>
      <c r="P65" s="35"/>
    </row>
    <row r="66" spans="2:16" ht="26.25" customHeight="1">
      <c r="B66" s="369" t="s">
        <v>51</v>
      </c>
      <c r="C66" s="375" t="s">
        <v>52</v>
      </c>
      <c r="D66" s="375"/>
      <c r="E66" s="373">
        <v>57</v>
      </c>
      <c r="F66" s="95">
        <v>1</v>
      </c>
      <c r="G66" s="96">
        <v>3</v>
      </c>
      <c r="H66" s="95">
        <v>4</v>
      </c>
      <c r="I66" s="98"/>
      <c r="J66" s="98"/>
      <c r="K66" s="98"/>
      <c r="L66" s="36"/>
      <c r="M66" s="93"/>
      <c r="N66" s="35"/>
      <c r="O66" s="35"/>
      <c r="P66" s="35"/>
    </row>
    <row r="67" spans="2:16" ht="15" customHeight="1">
      <c r="B67" s="369"/>
      <c r="C67" s="370" t="s">
        <v>53</v>
      </c>
      <c r="D67" s="370"/>
      <c r="E67" s="373"/>
      <c r="F67" s="373">
        <v>5</v>
      </c>
      <c r="G67" s="376">
        <v>11</v>
      </c>
      <c r="H67" s="373">
        <v>10</v>
      </c>
      <c r="I67" s="61"/>
      <c r="J67" s="61"/>
      <c r="K67" s="61"/>
      <c r="L67" s="36"/>
      <c r="M67" s="93"/>
      <c r="N67" s="35"/>
      <c r="O67" s="35"/>
      <c r="P67" s="35"/>
    </row>
    <row r="68" spans="2:16" ht="15" customHeight="1">
      <c r="B68" s="369"/>
      <c r="C68" s="370" t="s">
        <v>54</v>
      </c>
      <c r="D68" s="370"/>
      <c r="E68" s="373"/>
      <c r="F68" s="373"/>
      <c r="G68" s="376"/>
      <c r="H68" s="373"/>
      <c r="I68" s="61"/>
      <c r="J68" s="61"/>
      <c r="K68" s="61"/>
      <c r="L68" s="36"/>
      <c r="M68" s="93"/>
      <c r="N68" s="35"/>
      <c r="O68" s="35"/>
      <c r="P68" s="35"/>
    </row>
    <row r="69" spans="2:16" ht="15" customHeight="1">
      <c r="B69" s="369"/>
      <c r="C69" s="370" t="s">
        <v>55</v>
      </c>
      <c r="D69" s="370"/>
      <c r="E69" s="373"/>
      <c r="F69" s="373">
        <v>18</v>
      </c>
      <c r="G69" s="376">
        <v>12</v>
      </c>
      <c r="H69" s="373">
        <v>16</v>
      </c>
      <c r="I69" s="61"/>
      <c r="J69" s="61"/>
      <c r="K69" s="61"/>
      <c r="L69" s="36"/>
      <c r="M69" s="93"/>
      <c r="N69" s="35"/>
      <c r="O69" s="35"/>
      <c r="P69" s="35"/>
    </row>
    <row r="70" spans="2:16" ht="15" customHeight="1">
      <c r="B70" s="369"/>
      <c r="C70" s="370" t="s">
        <v>56</v>
      </c>
      <c r="D70" s="370"/>
      <c r="E70" s="373"/>
      <c r="F70" s="373"/>
      <c r="G70" s="376"/>
      <c r="H70" s="373"/>
      <c r="I70" s="61"/>
      <c r="J70" s="61"/>
      <c r="K70" s="61"/>
      <c r="L70" s="36"/>
      <c r="M70" s="93"/>
      <c r="N70" s="35"/>
      <c r="O70" s="35"/>
      <c r="P70" s="35"/>
    </row>
    <row r="71" spans="2:16" ht="15" customHeight="1">
      <c r="B71" s="369"/>
      <c r="C71" s="370" t="s">
        <v>57</v>
      </c>
      <c r="D71" s="370"/>
      <c r="E71" s="373"/>
      <c r="F71" s="373"/>
      <c r="G71" s="376"/>
      <c r="H71" s="373"/>
      <c r="I71" s="61"/>
      <c r="J71" s="61"/>
      <c r="K71" s="61"/>
      <c r="L71" s="36"/>
      <c r="M71" s="93"/>
      <c r="N71" s="35"/>
      <c r="O71" s="35"/>
      <c r="P71" s="35"/>
    </row>
    <row r="72" spans="2:16" ht="15" customHeight="1">
      <c r="B72" s="369"/>
      <c r="C72" s="370" t="s">
        <v>58</v>
      </c>
      <c r="D72" s="370"/>
      <c r="E72" s="373"/>
      <c r="F72" s="56">
        <v>7</v>
      </c>
      <c r="G72" s="94">
        <v>8</v>
      </c>
      <c r="H72" s="56">
        <v>12</v>
      </c>
      <c r="I72" s="61"/>
      <c r="J72" s="61"/>
      <c r="K72" s="61"/>
      <c r="L72" s="36"/>
      <c r="M72" s="93"/>
      <c r="N72" s="35"/>
      <c r="O72" s="35"/>
      <c r="P72" s="35"/>
    </row>
    <row r="73" spans="2:16" ht="15" customHeight="1">
      <c r="B73" s="369"/>
      <c r="C73" s="370" t="s">
        <v>59</v>
      </c>
      <c r="D73" s="370"/>
      <c r="E73" s="373"/>
      <c r="F73" s="56">
        <v>4</v>
      </c>
      <c r="G73" s="94">
        <v>6</v>
      </c>
      <c r="H73" s="56">
        <v>6</v>
      </c>
      <c r="I73" s="61"/>
      <c r="J73" s="61"/>
      <c r="K73" s="61"/>
      <c r="L73" s="36"/>
      <c r="M73" s="93"/>
      <c r="N73" s="35"/>
      <c r="O73" s="35"/>
      <c r="P73" s="35"/>
    </row>
    <row r="74" spans="2:16" ht="15" customHeight="1">
      <c r="B74" s="369"/>
      <c r="C74" s="370" t="s">
        <v>60</v>
      </c>
      <c r="D74" s="370"/>
      <c r="E74" s="373"/>
      <c r="F74" s="56">
        <v>1</v>
      </c>
      <c r="G74" s="94">
        <v>1</v>
      </c>
      <c r="H74" s="56">
        <v>2</v>
      </c>
      <c r="I74" s="61"/>
      <c r="J74" s="61"/>
      <c r="K74" s="61"/>
      <c r="L74" s="36"/>
      <c r="M74" s="93"/>
      <c r="N74" s="35"/>
      <c r="O74" s="35"/>
      <c r="P74" s="35"/>
    </row>
    <row r="75" spans="2:16" ht="15" customHeight="1">
      <c r="B75" s="369"/>
      <c r="C75" s="370" t="s">
        <v>61</v>
      </c>
      <c r="D75" s="370"/>
      <c r="E75" s="373"/>
      <c r="F75" s="56">
        <v>1</v>
      </c>
      <c r="G75" s="65" t="s">
        <v>18</v>
      </c>
      <c r="H75" s="65" t="s">
        <v>18</v>
      </c>
      <c r="I75" s="61"/>
      <c r="J75" s="61"/>
      <c r="K75" s="61"/>
      <c r="L75" s="36"/>
      <c r="M75" s="99"/>
      <c r="N75" s="35"/>
      <c r="O75" s="35"/>
      <c r="P75" s="35"/>
    </row>
    <row r="76" spans="2:16" ht="27" customHeight="1">
      <c r="B76" s="369" t="s">
        <v>16</v>
      </c>
      <c r="C76" s="372" t="s">
        <v>47</v>
      </c>
      <c r="D76" s="372"/>
      <c r="E76" s="95">
        <v>21</v>
      </c>
      <c r="F76" s="95">
        <v>11</v>
      </c>
      <c r="G76" s="96">
        <v>12</v>
      </c>
      <c r="H76" s="95">
        <v>16</v>
      </c>
      <c r="I76" s="61"/>
      <c r="J76" s="61"/>
      <c r="K76" s="61"/>
      <c r="L76" s="36"/>
      <c r="M76" s="93"/>
      <c r="N76" s="35"/>
      <c r="O76" s="35"/>
      <c r="P76" s="35"/>
    </row>
    <row r="77" spans="2:16" ht="15" customHeight="1">
      <c r="B77" s="369"/>
      <c r="C77" s="370" t="s">
        <v>62</v>
      </c>
      <c r="D77" s="370"/>
      <c r="E77" s="56"/>
      <c r="F77" s="56">
        <v>2</v>
      </c>
      <c r="G77" s="65" t="s">
        <v>18</v>
      </c>
      <c r="H77" s="65" t="s">
        <v>18</v>
      </c>
      <c r="I77" s="61"/>
      <c r="J77" s="61"/>
      <c r="K77" s="61"/>
      <c r="L77" s="36"/>
      <c r="M77" s="93"/>
      <c r="N77" s="35"/>
      <c r="O77" s="35"/>
      <c r="P77" s="35"/>
    </row>
    <row r="78" spans="2:16" ht="15" customHeight="1">
      <c r="B78" s="369"/>
      <c r="C78" s="370" t="s">
        <v>63</v>
      </c>
      <c r="D78" s="370"/>
      <c r="E78" s="56"/>
      <c r="F78" s="56">
        <v>4</v>
      </c>
      <c r="G78" s="94">
        <v>5</v>
      </c>
      <c r="H78" s="56">
        <v>5</v>
      </c>
      <c r="I78" s="61"/>
      <c r="J78" s="61"/>
      <c r="K78" s="61"/>
      <c r="L78" s="36"/>
      <c r="M78" s="93"/>
      <c r="N78" s="35"/>
      <c r="O78" s="35"/>
      <c r="P78" s="35"/>
    </row>
    <row r="79" spans="2:16" ht="27" customHeight="1">
      <c r="B79" s="369" t="s">
        <v>17</v>
      </c>
      <c r="C79" s="372" t="s">
        <v>64</v>
      </c>
      <c r="D79" s="372"/>
      <c r="E79" s="373">
        <v>3</v>
      </c>
      <c r="F79" s="95">
        <v>3</v>
      </c>
      <c r="G79" s="95">
        <v>2</v>
      </c>
      <c r="H79" s="95">
        <v>1</v>
      </c>
      <c r="I79" s="61"/>
      <c r="J79" s="61"/>
      <c r="K79" s="61"/>
      <c r="L79" s="36"/>
      <c r="M79" s="93"/>
      <c r="N79" s="35"/>
      <c r="O79" s="35"/>
      <c r="P79" s="35"/>
    </row>
    <row r="80" spans="2:16" ht="16.5" customHeight="1">
      <c r="B80" s="369"/>
      <c r="C80" s="370" t="s">
        <v>65</v>
      </c>
      <c r="D80" s="370"/>
      <c r="E80" s="373"/>
      <c r="F80" s="65" t="s">
        <v>18</v>
      </c>
      <c r="G80" s="65" t="s">
        <v>18</v>
      </c>
      <c r="H80" s="56">
        <v>2</v>
      </c>
      <c r="I80" s="61"/>
      <c r="J80" s="61"/>
      <c r="K80" s="61"/>
      <c r="L80" s="36"/>
      <c r="M80" s="93"/>
      <c r="N80" s="35"/>
      <c r="O80" s="35"/>
      <c r="P80" s="35"/>
    </row>
    <row r="81" spans="2:16" ht="30" customHeight="1">
      <c r="B81" s="369" t="s">
        <v>19</v>
      </c>
      <c r="C81" s="372" t="s">
        <v>66</v>
      </c>
      <c r="D81" s="372"/>
      <c r="E81" s="373">
        <v>160</v>
      </c>
      <c r="F81" s="95">
        <v>4</v>
      </c>
      <c r="G81" s="96">
        <v>4</v>
      </c>
      <c r="H81" s="95">
        <v>8</v>
      </c>
      <c r="I81" s="61"/>
      <c r="J81" s="61"/>
      <c r="K81" s="61"/>
      <c r="L81" s="36"/>
      <c r="M81" s="93"/>
      <c r="N81" s="35"/>
      <c r="O81" s="35"/>
      <c r="P81" s="35"/>
    </row>
    <row r="82" spans="2:16" ht="15" customHeight="1">
      <c r="B82" s="369"/>
      <c r="C82" s="370" t="s">
        <v>67</v>
      </c>
      <c r="D82" s="370"/>
      <c r="E82" s="373"/>
      <c r="F82" s="373">
        <v>9</v>
      </c>
      <c r="G82" s="376">
        <v>7</v>
      </c>
      <c r="H82" s="373">
        <v>6</v>
      </c>
      <c r="I82" s="61"/>
      <c r="J82" s="61"/>
      <c r="K82" s="61"/>
      <c r="L82" s="36"/>
      <c r="M82" s="93"/>
      <c r="N82" s="35"/>
      <c r="O82" s="35"/>
      <c r="P82" s="35"/>
    </row>
    <row r="83" spans="2:16" ht="15" customHeight="1">
      <c r="B83" s="369"/>
      <c r="C83" s="370" t="s">
        <v>68</v>
      </c>
      <c r="D83" s="370"/>
      <c r="E83" s="373"/>
      <c r="F83" s="373"/>
      <c r="G83" s="376"/>
      <c r="H83" s="373"/>
      <c r="I83" s="61"/>
      <c r="J83" s="61"/>
      <c r="K83" s="61"/>
      <c r="L83" s="36"/>
      <c r="M83" s="93"/>
      <c r="N83" s="35"/>
      <c r="O83" s="35"/>
      <c r="P83" s="35"/>
    </row>
    <row r="84" spans="2:16" ht="15" customHeight="1">
      <c r="B84" s="369"/>
      <c r="C84" s="370" t="s">
        <v>69</v>
      </c>
      <c r="D84" s="370"/>
      <c r="E84" s="373"/>
      <c r="F84" s="56">
        <v>9</v>
      </c>
      <c r="G84" s="94">
        <v>7</v>
      </c>
      <c r="H84" s="56">
        <v>5</v>
      </c>
      <c r="I84" s="61"/>
      <c r="J84" s="61"/>
      <c r="K84" s="61"/>
      <c r="L84" s="36"/>
      <c r="M84" s="93"/>
      <c r="N84" s="35"/>
      <c r="O84" s="35"/>
      <c r="P84" s="35"/>
    </row>
    <row r="85" spans="2:16" ht="15" customHeight="1">
      <c r="B85" s="369"/>
      <c r="C85" s="370" t="s">
        <v>70</v>
      </c>
      <c r="D85" s="370"/>
      <c r="E85" s="373"/>
      <c r="F85" s="56">
        <v>7</v>
      </c>
      <c r="G85" s="94">
        <v>10</v>
      </c>
      <c r="H85" s="56">
        <v>9</v>
      </c>
      <c r="I85" s="61"/>
      <c r="J85" s="61"/>
      <c r="K85" s="61"/>
      <c r="L85" s="36"/>
      <c r="M85" s="93"/>
      <c r="N85" s="35"/>
      <c r="O85" s="35"/>
      <c r="P85" s="35"/>
    </row>
    <row r="86" spans="2:16" ht="15" customHeight="1">
      <c r="B86" s="369"/>
      <c r="C86" s="370" t="s">
        <v>71</v>
      </c>
      <c r="D86" s="370"/>
      <c r="E86" s="373"/>
      <c r="F86" s="56">
        <v>11</v>
      </c>
      <c r="G86" s="94">
        <v>9</v>
      </c>
      <c r="H86" s="56">
        <v>7</v>
      </c>
      <c r="I86" s="61"/>
      <c r="J86" s="61"/>
      <c r="K86" s="61"/>
      <c r="L86" s="36"/>
      <c r="M86" s="93"/>
      <c r="N86" s="35"/>
      <c r="O86" s="35"/>
      <c r="P86" s="35"/>
    </row>
    <row r="87" spans="2:16" ht="15" customHeight="1">
      <c r="B87" s="369"/>
      <c r="C87" s="370" t="s">
        <v>72</v>
      </c>
      <c r="D87" s="370"/>
      <c r="E87" s="373"/>
      <c r="F87" s="56">
        <v>10</v>
      </c>
      <c r="G87" s="94">
        <v>11</v>
      </c>
      <c r="H87" s="56">
        <v>9</v>
      </c>
      <c r="I87" s="61"/>
      <c r="J87" s="61"/>
      <c r="K87" s="61"/>
      <c r="L87" s="36"/>
      <c r="M87" s="93"/>
      <c r="N87" s="35"/>
      <c r="O87" s="35"/>
      <c r="P87" s="35"/>
    </row>
    <row r="88" spans="2:16" ht="15" customHeight="1">
      <c r="B88" s="369"/>
      <c r="C88" s="370" t="s">
        <v>73</v>
      </c>
      <c r="D88" s="370"/>
      <c r="E88" s="373"/>
      <c r="F88" s="56">
        <v>2</v>
      </c>
      <c r="G88" s="94">
        <v>4</v>
      </c>
      <c r="H88" s="56">
        <v>4</v>
      </c>
      <c r="I88" s="61"/>
      <c r="J88" s="61"/>
      <c r="K88" s="61"/>
      <c r="L88" s="36"/>
      <c r="M88" s="93"/>
      <c r="N88" s="35"/>
      <c r="O88" s="35"/>
      <c r="P88" s="35"/>
    </row>
    <row r="89" spans="2:16">
      <c r="B89" s="369"/>
      <c r="C89" s="370" t="s">
        <v>56</v>
      </c>
      <c r="D89" s="370"/>
      <c r="E89" s="373"/>
      <c r="F89" s="373">
        <v>18</v>
      </c>
      <c r="G89" s="376">
        <v>14</v>
      </c>
      <c r="H89" s="373">
        <v>17</v>
      </c>
      <c r="I89" s="61"/>
      <c r="J89" s="61"/>
      <c r="K89" s="61"/>
      <c r="L89" s="36"/>
      <c r="M89" s="93"/>
      <c r="N89" s="35"/>
      <c r="O89" s="35"/>
      <c r="P89" s="35"/>
    </row>
    <row r="90" spans="2:16">
      <c r="B90" s="369"/>
      <c r="C90" s="370" t="s">
        <v>74</v>
      </c>
      <c r="D90" s="370"/>
      <c r="E90" s="373"/>
      <c r="F90" s="373"/>
      <c r="G90" s="376"/>
      <c r="H90" s="373"/>
      <c r="I90" s="61"/>
      <c r="J90" s="61"/>
      <c r="K90" s="61"/>
      <c r="L90" s="36"/>
      <c r="M90" s="93"/>
      <c r="N90" s="35"/>
      <c r="O90" s="35"/>
      <c r="P90" s="35"/>
    </row>
    <row r="91" spans="2:16">
      <c r="B91" s="369"/>
      <c r="C91" s="370" t="s">
        <v>63</v>
      </c>
      <c r="D91" s="370"/>
      <c r="E91" s="373"/>
      <c r="F91" s="56">
        <v>4</v>
      </c>
      <c r="G91" s="94">
        <v>5</v>
      </c>
      <c r="H91" s="56">
        <v>3</v>
      </c>
      <c r="I91" s="61"/>
      <c r="J91" s="61"/>
      <c r="K91" s="61"/>
      <c r="L91" s="36"/>
      <c r="M91" s="93"/>
      <c r="N91" s="35"/>
      <c r="O91" s="35"/>
      <c r="P91" s="35"/>
    </row>
    <row r="92" spans="2:16" ht="26.25" customHeight="1">
      <c r="B92" s="369"/>
      <c r="C92" s="374" t="s">
        <v>75</v>
      </c>
      <c r="D92" s="374"/>
      <c r="E92" s="373"/>
      <c r="F92" s="56">
        <v>1</v>
      </c>
      <c r="G92" s="65" t="s">
        <v>18</v>
      </c>
      <c r="H92" s="65" t="s">
        <v>18</v>
      </c>
      <c r="I92" s="61"/>
      <c r="J92" s="61"/>
      <c r="K92" s="61"/>
      <c r="L92" s="36"/>
      <c r="M92" s="93"/>
      <c r="N92" s="35"/>
      <c r="O92" s="35"/>
      <c r="P92" s="35"/>
    </row>
    <row r="93" spans="2:16">
      <c r="B93" s="369"/>
      <c r="C93" s="370" t="s">
        <v>59</v>
      </c>
      <c r="D93" s="370"/>
      <c r="E93" s="373"/>
      <c r="F93" s="56">
        <v>8</v>
      </c>
      <c r="G93" s="94">
        <v>8</v>
      </c>
      <c r="H93" s="56">
        <v>8</v>
      </c>
      <c r="I93" s="61"/>
      <c r="J93" s="61"/>
      <c r="K93" s="61"/>
      <c r="L93" s="36"/>
      <c r="M93" s="93"/>
      <c r="N93" s="35"/>
      <c r="O93" s="35"/>
      <c r="P93" s="35"/>
    </row>
    <row r="94" spans="2:16">
      <c r="B94" s="369"/>
      <c r="C94" s="370" t="s">
        <v>76</v>
      </c>
      <c r="D94" s="370"/>
      <c r="E94" s="373"/>
      <c r="F94" s="56">
        <v>9</v>
      </c>
      <c r="G94" s="94">
        <v>9</v>
      </c>
      <c r="H94" s="56">
        <v>9</v>
      </c>
      <c r="I94" s="61"/>
      <c r="J94" s="61"/>
      <c r="K94" s="61"/>
      <c r="L94" s="36"/>
      <c r="M94" s="93"/>
      <c r="N94" s="35"/>
      <c r="O94" s="35"/>
      <c r="P94" s="35"/>
    </row>
    <row r="95" spans="2:16">
      <c r="B95" s="369"/>
      <c r="C95" s="370" t="s">
        <v>77</v>
      </c>
      <c r="D95" s="370"/>
      <c r="E95" s="373"/>
      <c r="F95" s="56">
        <v>2</v>
      </c>
      <c r="G95" s="94">
        <v>2</v>
      </c>
      <c r="H95" s="56">
        <v>1</v>
      </c>
      <c r="I95" s="61"/>
      <c r="J95" s="61"/>
      <c r="K95" s="61"/>
      <c r="L95" s="36"/>
      <c r="M95" s="93"/>
      <c r="N95" s="35"/>
      <c r="O95" s="35"/>
      <c r="P95" s="35"/>
    </row>
    <row r="96" spans="2:16">
      <c r="B96" s="369"/>
      <c r="C96" s="370" t="s">
        <v>78</v>
      </c>
      <c r="D96" s="370"/>
      <c r="E96" s="373"/>
      <c r="F96" s="56">
        <v>2</v>
      </c>
      <c r="G96" s="94">
        <v>2</v>
      </c>
      <c r="H96" s="56">
        <v>3</v>
      </c>
      <c r="I96" s="61"/>
      <c r="J96" s="61"/>
      <c r="K96" s="61"/>
      <c r="L96" s="36"/>
      <c r="M96" s="93"/>
      <c r="N96" s="35"/>
      <c r="O96" s="35"/>
      <c r="P96" s="35"/>
    </row>
    <row r="97" spans="2:16">
      <c r="B97" s="369"/>
      <c r="C97" s="370" t="s">
        <v>60</v>
      </c>
      <c r="D97" s="370"/>
      <c r="E97" s="373"/>
      <c r="F97" s="56">
        <v>3</v>
      </c>
      <c r="G97" s="65" t="s">
        <v>18</v>
      </c>
      <c r="H97" s="56">
        <v>2</v>
      </c>
      <c r="I97" s="61"/>
      <c r="J97" s="61"/>
      <c r="K97" s="61"/>
      <c r="L97" s="36"/>
      <c r="M97" s="93"/>
      <c r="N97" s="35"/>
      <c r="O97" s="35"/>
      <c r="P97" s="35"/>
    </row>
    <row r="98" spans="2:16" ht="29.25" customHeight="1">
      <c r="B98" s="369"/>
      <c r="C98" s="374" t="s">
        <v>79</v>
      </c>
      <c r="D98" s="374"/>
      <c r="E98" s="373"/>
      <c r="F98" s="56">
        <v>1</v>
      </c>
      <c r="G98" s="65" t="s">
        <v>18</v>
      </c>
      <c r="H98" s="65" t="s">
        <v>18</v>
      </c>
      <c r="I98" s="61"/>
      <c r="J98" s="61"/>
      <c r="K98" s="61"/>
      <c r="L98" s="36"/>
      <c r="M98" s="93"/>
      <c r="N98" s="35"/>
      <c r="O98" s="35"/>
      <c r="P98" s="35"/>
    </row>
    <row r="99" spans="2:16" ht="30" customHeight="1">
      <c r="B99" s="369"/>
      <c r="C99" s="374" t="s">
        <v>80</v>
      </c>
      <c r="D99" s="374"/>
      <c r="E99" s="373" t="s">
        <v>18</v>
      </c>
      <c r="F99" s="56">
        <v>1</v>
      </c>
      <c r="G99" s="65" t="s">
        <v>18</v>
      </c>
      <c r="H99" s="65" t="s">
        <v>18</v>
      </c>
      <c r="I99" s="61"/>
      <c r="J99" s="61"/>
      <c r="K99" s="61"/>
      <c r="L99" s="36"/>
      <c r="M99" s="93"/>
      <c r="N99" s="35"/>
      <c r="O99" s="35"/>
      <c r="P99" s="35"/>
    </row>
    <row r="100" spans="2:16" ht="36" customHeight="1">
      <c r="B100" s="369"/>
      <c r="C100" s="374" t="s">
        <v>81</v>
      </c>
      <c r="D100" s="374"/>
      <c r="E100" s="373"/>
      <c r="F100" s="56">
        <v>2</v>
      </c>
      <c r="G100" s="94">
        <v>4</v>
      </c>
      <c r="H100" s="56">
        <v>5</v>
      </c>
      <c r="I100" s="61"/>
      <c r="J100" s="61"/>
      <c r="K100" s="61"/>
      <c r="L100" s="36"/>
      <c r="M100" s="93"/>
      <c r="N100" s="35"/>
      <c r="O100" s="35"/>
      <c r="P100" s="35"/>
    </row>
    <row r="101" spans="2:16" ht="41.25" customHeight="1">
      <c r="B101" s="369"/>
      <c r="C101" s="374" t="s">
        <v>82</v>
      </c>
      <c r="D101" s="374"/>
      <c r="E101" s="373"/>
      <c r="F101" s="56">
        <v>2</v>
      </c>
      <c r="G101" s="94">
        <v>1</v>
      </c>
      <c r="H101" s="56">
        <v>1</v>
      </c>
      <c r="I101" s="61"/>
      <c r="J101" s="61"/>
      <c r="K101" s="61"/>
      <c r="L101" s="36"/>
      <c r="M101" s="93"/>
      <c r="N101" s="35"/>
      <c r="O101" s="35"/>
      <c r="P101" s="35"/>
    </row>
    <row r="102" spans="2:16" ht="30.75" customHeight="1">
      <c r="B102" s="369" t="s">
        <v>20</v>
      </c>
      <c r="C102" s="372" t="s">
        <v>83</v>
      </c>
      <c r="D102" s="372"/>
      <c r="E102" s="373">
        <v>4</v>
      </c>
      <c r="F102" s="56">
        <v>2</v>
      </c>
      <c r="G102" s="94">
        <v>2</v>
      </c>
      <c r="H102" s="56">
        <v>2</v>
      </c>
      <c r="I102" s="61"/>
      <c r="J102" s="61"/>
      <c r="K102" s="61"/>
      <c r="L102" s="36"/>
      <c r="M102" s="93"/>
      <c r="N102" s="35"/>
      <c r="O102" s="35"/>
      <c r="P102" s="35"/>
    </row>
    <row r="103" spans="2:16">
      <c r="B103" s="369"/>
      <c r="C103" s="370" t="s">
        <v>84</v>
      </c>
      <c r="D103" s="370"/>
      <c r="E103" s="373"/>
      <c r="F103" s="56">
        <v>3</v>
      </c>
      <c r="G103" s="94">
        <v>1</v>
      </c>
      <c r="H103" s="56">
        <v>1</v>
      </c>
      <c r="I103" s="61"/>
      <c r="J103" s="61"/>
      <c r="K103" s="61"/>
      <c r="L103" s="36"/>
      <c r="M103" s="93"/>
      <c r="N103" s="35"/>
      <c r="O103" s="35"/>
      <c r="P103" s="35"/>
    </row>
    <row r="104" spans="2:16" ht="24" customHeight="1">
      <c r="B104" s="369" t="s">
        <v>21</v>
      </c>
      <c r="C104" s="372" t="s">
        <v>67</v>
      </c>
      <c r="D104" s="372"/>
      <c r="E104" s="373">
        <v>2</v>
      </c>
      <c r="F104" s="373">
        <v>4</v>
      </c>
      <c r="G104" s="373">
        <v>3</v>
      </c>
      <c r="H104" s="373">
        <v>3</v>
      </c>
      <c r="I104" s="61"/>
      <c r="J104" s="61"/>
      <c r="K104" s="61"/>
      <c r="L104" s="36"/>
      <c r="M104" s="93"/>
      <c r="N104" s="35"/>
      <c r="O104" s="35"/>
      <c r="P104" s="35"/>
    </row>
    <row r="105" spans="2:16">
      <c r="B105" s="369"/>
      <c r="C105" s="370" t="s">
        <v>68</v>
      </c>
      <c r="D105" s="370"/>
      <c r="E105" s="373"/>
      <c r="F105" s="373"/>
      <c r="G105" s="373"/>
      <c r="H105" s="373"/>
      <c r="I105" s="61"/>
      <c r="J105" s="61"/>
      <c r="K105" s="61"/>
      <c r="L105" s="36"/>
      <c r="M105" s="93"/>
      <c r="N105" s="35"/>
      <c r="O105" s="35"/>
      <c r="P105" s="35"/>
    </row>
    <row r="106" spans="2:16" ht="29.25" customHeight="1">
      <c r="B106" s="369" t="s">
        <v>85</v>
      </c>
      <c r="C106" s="372" t="s">
        <v>54</v>
      </c>
      <c r="D106" s="372"/>
      <c r="E106" s="95">
        <v>15</v>
      </c>
      <c r="F106" s="100">
        <v>3</v>
      </c>
      <c r="G106" s="96">
        <v>2</v>
      </c>
      <c r="H106" s="95">
        <v>6</v>
      </c>
      <c r="I106" s="61"/>
      <c r="J106" s="61"/>
      <c r="K106" s="61"/>
      <c r="L106" s="36"/>
      <c r="M106" s="93"/>
      <c r="N106" s="35"/>
      <c r="O106" s="35"/>
      <c r="P106" s="35"/>
    </row>
    <row r="107" spans="2:16">
      <c r="B107" s="369"/>
      <c r="C107" s="370" t="s">
        <v>62</v>
      </c>
      <c r="D107" s="370"/>
      <c r="E107" s="56"/>
      <c r="F107" s="56">
        <v>7</v>
      </c>
      <c r="G107" s="94">
        <v>2</v>
      </c>
      <c r="H107" s="56">
        <v>2</v>
      </c>
      <c r="I107" s="61"/>
      <c r="J107" s="61"/>
      <c r="K107" s="61"/>
      <c r="L107" s="36"/>
      <c r="M107" s="93"/>
      <c r="N107" s="35"/>
      <c r="O107" s="35"/>
      <c r="P107" s="35"/>
    </row>
    <row r="108" spans="2:16">
      <c r="B108" s="369"/>
      <c r="C108" s="377"/>
      <c r="D108" s="377"/>
      <c r="E108" s="56"/>
      <c r="F108" s="56"/>
      <c r="G108" s="65"/>
      <c r="H108" s="65"/>
      <c r="I108" s="61"/>
      <c r="J108" s="61"/>
      <c r="K108" s="61"/>
      <c r="L108" s="36"/>
      <c r="M108" s="93"/>
      <c r="N108" s="35"/>
      <c r="O108" s="35"/>
      <c r="P108" s="35"/>
    </row>
    <row r="109" spans="2:16" ht="15" customHeight="1">
      <c r="B109" s="369" t="s">
        <v>23</v>
      </c>
      <c r="C109" s="370" t="s">
        <v>86</v>
      </c>
      <c r="D109" s="370"/>
      <c r="E109" s="56">
        <v>3</v>
      </c>
      <c r="F109" s="65" t="s">
        <v>18</v>
      </c>
      <c r="G109" s="65" t="s">
        <v>18</v>
      </c>
      <c r="H109" s="65" t="s">
        <v>18</v>
      </c>
      <c r="I109" s="61"/>
      <c r="J109" s="61"/>
      <c r="K109" s="61"/>
      <c r="L109" s="36"/>
      <c r="M109" s="93"/>
      <c r="N109" s="35"/>
      <c r="O109" s="35"/>
      <c r="P109" s="35"/>
    </row>
    <row r="110" spans="2:16">
      <c r="B110" s="369"/>
      <c r="C110" s="370" t="s">
        <v>59</v>
      </c>
      <c r="D110" s="370"/>
      <c r="E110" s="56"/>
      <c r="F110" s="65" t="s">
        <v>18</v>
      </c>
      <c r="G110" s="65" t="s">
        <v>18</v>
      </c>
      <c r="H110" s="65" t="s">
        <v>18</v>
      </c>
      <c r="I110" s="61"/>
      <c r="J110" s="61"/>
      <c r="K110" s="61"/>
      <c r="L110" s="36"/>
      <c r="M110" s="93"/>
      <c r="N110" s="35"/>
      <c r="O110" s="35"/>
      <c r="P110" s="35"/>
    </row>
    <row r="111" spans="2:16" ht="24" customHeight="1">
      <c r="B111" s="369" t="s">
        <v>24</v>
      </c>
      <c r="C111" s="372" t="s">
        <v>68</v>
      </c>
      <c r="D111" s="372"/>
      <c r="E111" s="373">
        <v>9</v>
      </c>
      <c r="F111" s="95">
        <v>4</v>
      </c>
      <c r="G111" s="96">
        <v>3</v>
      </c>
      <c r="H111" s="95">
        <v>4</v>
      </c>
      <c r="I111" s="61"/>
      <c r="J111" s="61"/>
      <c r="K111" s="61"/>
      <c r="L111" s="36"/>
      <c r="M111" s="93"/>
      <c r="N111" s="35"/>
      <c r="O111" s="35"/>
      <c r="P111" s="35"/>
    </row>
    <row r="112" spans="2:16">
      <c r="B112" s="369"/>
      <c r="C112" s="370" t="s">
        <v>87</v>
      </c>
      <c r="D112" s="370"/>
      <c r="E112" s="373"/>
      <c r="F112" s="56">
        <v>5</v>
      </c>
      <c r="G112" s="94">
        <v>3</v>
      </c>
      <c r="H112" s="56">
        <v>3</v>
      </c>
      <c r="I112" s="61"/>
      <c r="J112" s="61"/>
      <c r="K112" s="61"/>
      <c r="L112" s="36"/>
      <c r="M112" s="93"/>
      <c r="N112" s="35"/>
      <c r="O112" s="35"/>
      <c r="P112" s="35"/>
    </row>
    <row r="113" spans="2:16" ht="27" customHeight="1">
      <c r="B113" s="369" t="s">
        <v>25</v>
      </c>
      <c r="C113" s="372" t="s">
        <v>76</v>
      </c>
      <c r="D113" s="372"/>
      <c r="E113" s="373">
        <v>18</v>
      </c>
      <c r="F113" s="95">
        <v>7</v>
      </c>
      <c r="G113" s="95">
        <v>8</v>
      </c>
      <c r="H113" s="95">
        <v>9</v>
      </c>
      <c r="I113" s="61"/>
      <c r="J113" s="61"/>
      <c r="K113" s="61"/>
      <c r="L113" s="36"/>
      <c r="M113" s="93"/>
      <c r="N113" s="35"/>
      <c r="O113" s="35"/>
      <c r="P113" s="35"/>
    </row>
    <row r="114" spans="2:16">
      <c r="B114" s="369"/>
      <c r="C114" s="370" t="s">
        <v>88</v>
      </c>
      <c r="D114" s="370"/>
      <c r="E114" s="373"/>
      <c r="F114" s="56">
        <v>3</v>
      </c>
      <c r="G114" s="56">
        <v>2</v>
      </c>
      <c r="H114" s="56">
        <v>2</v>
      </c>
      <c r="I114" s="61"/>
      <c r="J114" s="61"/>
      <c r="K114" s="61"/>
      <c r="L114" s="36"/>
      <c r="M114" s="93"/>
      <c r="N114" s="35"/>
      <c r="O114" s="35"/>
      <c r="P114" s="35"/>
    </row>
    <row r="115" spans="2:16">
      <c r="B115" s="369"/>
      <c r="C115" s="370" t="s">
        <v>69</v>
      </c>
      <c r="D115" s="370"/>
      <c r="E115" s="373"/>
      <c r="F115" s="56">
        <v>2</v>
      </c>
      <c r="G115" s="56">
        <v>2</v>
      </c>
      <c r="H115" s="56">
        <v>1</v>
      </c>
      <c r="I115" s="61"/>
      <c r="J115" s="61"/>
      <c r="K115" s="61"/>
      <c r="L115" s="36"/>
      <c r="M115" s="93"/>
      <c r="N115" s="35"/>
      <c r="O115" s="35"/>
      <c r="P115" s="35"/>
    </row>
    <row r="116" spans="2:16" ht="33" customHeight="1">
      <c r="B116" s="369" t="s">
        <v>26</v>
      </c>
      <c r="C116" s="372" t="s">
        <v>63</v>
      </c>
      <c r="D116" s="372"/>
      <c r="E116" s="373">
        <v>7</v>
      </c>
      <c r="F116" s="95">
        <v>3</v>
      </c>
      <c r="G116" s="96">
        <v>5</v>
      </c>
      <c r="H116" s="95">
        <v>7</v>
      </c>
      <c r="I116" s="61"/>
      <c r="J116" s="61"/>
      <c r="K116" s="61"/>
      <c r="L116" s="36"/>
      <c r="M116" s="93"/>
      <c r="N116" s="35"/>
      <c r="O116" s="35"/>
      <c r="P116" s="35"/>
    </row>
    <row r="117" spans="2:16">
      <c r="B117" s="369"/>
      <c r="C117" s="370" t="s">
        <v>89</v>
      </c>
      <c r="D117" s="370"/>
      <c r="E117" s="373"/>
      <c r="F117" s="56">
        <v>2</v>
      </c>
      <c r="G117" s="94">
        <v>2</v>
      </c>
      <c r="H117" s="56">
        <v>2</v>
      </c>
      <c r="I117" s="61"/>
      <c r="J117" s="61"/>
      <c r="K117" s="61"/>
      <c r="L117" s="36"/>
      <c r="M117" s="93"/>
      <c r="N117" s="35"/>
      <c r="O117" s="35"/>
      <c r="P117" s="35"/>
    </row>
    <row r="118" spans="2:16" ht="22.5" customHeight="1">
      <c r="B118" s="369" t="s">
        <v>27</v>
      </c>
      <c r="C118" s="372" t="s">
        <v>90</v>
      </c>
      <c r="D118" s="372"/>
      <c r="E118" s="373">
        <v>31</v>
      </c>
      <c r="F118" s="373">
        <v>3</v>
      </c>
      <c r="G118" s="373">
        <v>7</v>
      </c>
      <c r="H118" s="373">
        <v>6</v>
      </c>
      <c r="I118" s="61"/>
      <c r="J118" s="61"/>
      <c r="K118" s="61"/>
      <c r="L118" s="36"/>
      <c r="M118" s="93"/>
      <c r="N118" s="35"/>
      <c r="O118" s="35"/>
      <c r="P118" s="35"/>
    </row>
    <row r="119" spans="2:16">
      <c r="B119" s="369"/>
      <c r="C119" s="378" t="s">
        <v>91</v>
      </c>
      <c r="D119" s="378"/>
      <c r="E119" s="373"/>
      <c r="F119" s="373"/>
      <c r="G119" s="373"/>
      <c r="H119" s="373"/>
      <c r="I119" s="61"/>
      <c r="J119" s="61"/>
      <c r="K119" s="61"/>
      <c r="L119" s="36"/>
      <c r="M119" s="93"/>
      <c r="N119" s="35"/>
      <c r="O119" s="35"/>
      <c r="P119" s="35"/>
    </row>
    <row r="120" spans="2:16">
      <c r="B120" s="369"/>
      <c r="C120" s="378" t="s">
        <v>69</v>
      </c>
      <c r="D120" s="378"/>
      <c r="E120" s="373"/>
      <c r="F120" s="56">
        <v>18</v>
      </c>
      <c r="G120" s="56">
        <v>17</v>
      </c>
      <c r="H120" s="56">
        <v>18</v>
      </c>
      <c r="I120" s="61"/>
      <c r="J120" s="61"/>
      <c r="K120" s="61"/>
      <c r="L120" s="36"/>
      <c r="M120" s="93"/>
      <c r="N120" s="35"/>
      <c r="O120" s="35"/>
      <c r="P120" s="35"/>
    </row>
    <row r="121" spans="2:16">
      <c r="B121" s="369"/>
      <c r="C121" s="378" t="s">
        <v>59</v>
      </c>
      <c r="D121" s="378"/>
      <c r="E121" s="373"/>
      <c r="F121" s="56">
        <v>5</v>
      </c>
      <c r="G121" s="56">
        <v>6</v>
      </c>
      <c r="H121" s="56">
        <v>9</v>
      </c>
      <c r="I121" s="61"/>
      <c r="J121" s="61"/>
      <c r="K121" s="61"/>
      <c r="L121" s="36"/>
      <c r="M121" s="93"/>
      <c r="N121" s="35"/>
      <c r="O121" s="35"/>
      <c r="P121" s="35"/>
    </row>
    <row r="122" spans="2:16" ht="43.5" customHeight="1">
      <c r="B122" s="369"/>
      <c r="C122" s="379" t="s">
        <v>92</v>
      </c>
      <c r="D122" s="379"/>
      <c r="E122" s="373"/>
      <c r="F122" s="56">
        <v>1</v>
      </c>
      <c r="G122" s="65" t="s">
        <v>18</v>
      </c>
      <c r="H122" s="65" t="s">
        <v>18</v>
      </c>
      <c r="I122" s="61"/>
      <c r="J122" s="61"/>
      <c r="K122" s="61"/>
      <c r="L122" s="36"/>
      <c r="M122" s="93"/>
      <c r="N122" s="35"/>
      <c r="O122" s="35"/>
      <c r="P122" s="35"/>
    </row>
    <row r="123" spans="2:16" ht="25.5" customHeight="1">
      <c r="B123" s="369" t="s">
        <v>28</v>
      </c>
      <c r="C123" s="380" t="s">
        <v>93</v>
      </c>
      <c r="D123" s="380"/>
      <c r="E123" s="381">
        <v>9</v>
      </c>
      <c r="F123" s="95">
        <v>2</v>
      </c>
      <c r="G123" s="96">
        <v>1</v>
      </c>
      <c r="H123" s="95">
        <v>1</v>
      </c>
      <c r="I123" s="61"/>
      <c r="J123" s="61"/>
      <c r="K123" s="61"/>
      <c r="L123" s="36"/>
      <c r="M123" s="93"/>
      <c r="N123" s="35"/>
      <c r="O123" s="35"/>
      <c r="P123" s="35"/>
    </row>
    <row r="124" spans="2:16">
      <c r="B124" s="369"/>
      <c r="C124" s="378" t="s">
        <v>94</v>
      </c>
      <c r="D124" s="378"/>
      <c r="E124" s="381"/>
      <c r="F124" s="56">
        <v>6</v>
      </c>
      <c r="G124" s="94">
        <v>5</v>
      </c>
      <c r="H124" s="56">
        <v>4</v>
      </c>
      <c r="I124" s="61"/>
      <c r="J124" s="61"/>
      <c r="K124" s="61"/>
      <c r="L124" s="36"/>
      <c r="M124" s="93"/>
      <c r="N124" s="35"/>
      <c r="O124" s="35"/>
      <c r="P124" s="35"/>
    </row>
    <row r="125" spans="2:16">
      <c r="B125" s="369"/>
      <c r="C125" s="370" t="s">
        <v>95</v>
      </c>
      <c r="D125" s="370"/>
      <c r="E125" s="381"/>
      <c r="F125" s="56">
        <v>4</v>
      </c>
      <c r="G125" s="94">
        <v>2</v>
      </c>
      <c r="H125" s="56">
        <v>2</v>
      </c>
      <c r="I125" s="61"/>
      <c r="J125" s="61"/>
      <c r="K125" s="61"/>
      <c r="L125" s="36"/>
      <c r="M125" s="93"/>
      <c r="N125" s="35"/>
      <c r="O125" s="35"/>
      <c r="P125" s="35"/>
    </row>
    <row r="126" spans="2:16" ht="41.25" customHeight="1">
      <c r="B126" s="369"/>
      <c r="C126" s="374" t="s">
        <v>96</v>
      </c>
      <c r="D126" s="374"/>
      <c r="E126" s="381"/>
      <c r="F126" s="65" t="s">
        <v>18</v>
      </c>
      <c r="G126" s="94">
        <v>1</v>
      </c>
      <c r="H126" s="56">
        <v>1</v>
      </c>
      <c r="I126" s="61"/>
      <c r="J126" s="61"/>
      <c r="K126" s="61"/>
      <c r="L126" s="36"/>
      <c r="M126" s="93"/>
      <c r="N126" s="35"/>
      <c r="O126" s="35"/>
      <c r="P126" s="35"/>
    </row>
    <row r="127" spans="2:16">
      <c r="B127" s="382" t="s">
        <v>29</v>
      </c>
      <c r="C127" s="382"/>
      <c r="D127" s="382"/>
      <c r="E127" s="84">
        <f>SUM(E60:E126)</f>
        <v>380</v>
      </c>
      <c r="F127" s="84">
        <f>SUM(F60:F126)</f>
        <v>286</v>
      </c>
      <c r="G127" s="84">
        <f>SUM(G60:G126)</f>
        <v>272</v>
      </c>
      <c r="H127" s="84">
        <f>SUM(H60:H126)</f>
        <v>296</v>
      </c>
      <c r="I127" s="86"/>
      <c r="J127" s="86"/>
      <c r="K127" s="86"/>
      <c r="L127" s="36"/>
      <c r="M127" s="101"/>
      <c r="N127" s="35"/>
      <c r="O127" s="35"/>
      <c r="P127" s="35"/>
    </row>
    <row r="128" spans="2:16">
      <c r="L128" s="36"/>
      <c r="M128" s="35"/>
      <c r="N128" s="35"/>
      <c r="O128" s="35"/>
      <c r="P128" s="35"/>
    </row>
    <row r="129" spans="2:16" ht="15.75">
      <c r="B129" s="87" t="s">
        <v>40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35"/>
      <c r="N129" s="35"/>
      <c r="O129" s="35"/>
      <c r="P129" s="35"/>
    </row>
    <row r="130" spans="2:16" ht="15.75" customHeight="1">
      <c r="B130" s="4" t="s">
        <v>97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5"/>
      <c r="N130" s="35"/>
      <c r="O130" s="35"/>
      <c r="P130" s="35"/>
    </row>
    <row r="131" spans="2:16">
      <c r="L131" s="36"/>
      <c r="M131" s="35"/>
      <c r="N131" s="35"/>
      <c r="O131" s="35"/>
      <c r="P131" s="35"/>
    </row>
    <row r="132" spans="2:16"/>
    <row r="133" spans="2:16"/>
  </sheetData>
  <mergeCells count="140">
    <mergeCell ref="B127:D127"/>
    <mergeCell ref="B130:L130"/>
    <mergeCell ref="H118:H119"/>
    <mergeCell ref="C119:D119"/>
    <mergeCell ref="C120:D120"/>
    <mergeCell ref="C121:D121"/>
    <mergeCell ref="C122:D122"/>
    <mergeCell ref="B123:B126"/>
    <mergeCell ref="C123:D123"/>
    <mergeCell ref="E123:E126"/>
    <mergeCell ref="C124:D124"/>
    <mergeCell ref="C125:D125"/>
    <mergeCell ref="C126:D126"/>
    <mergeCell ref="B116:B117"/>
    <mergeCell ref="C116:D116"/>
    <mergeCell ref="E116:E117"/>
    <mergeCell ref="C117:D117"/>
    <mergeCell ref="B118:B122"/>
    <mergeCell ref="C118:D118"/>
    <mergeCell ref="E118:E122"/>
    <mergeCell ref="F118:F119"/>
    <mergeCell ref="G118:G119"/>
    <mergeCell ref="B111:B112"/>
    <mergeCell ref="C111:D111"/>
    <mergeCell ref="E111:E112"/>
    <mergeCell ref="C112:D112"/>
    <mergeCell ref="B113:B115"/>
    <mergeCell ref="C113:D113"/>
    <mergeCell ref="E113:E115"/>
    <mergeCell ref="C114:D114"/>
    <mergeCell ref="C115:D115"/>
    <mergeCell ref="H104:H105"/>
    <mergeCell ref="C105:D105"/>
    <mergeCell ref="B106:B108"/>
    <mergeCell ref="C106:D106"/>
    <mergeCell ref="C107:D107"/>
    <mergeCell ref="C108:D108"/>
    <mergeCell ref="B109:B110"/>
    <mergeCell ref="C109:D109"/>
    <mergeCell ref="C110:D110"/>
    <mergeCell ref="B102:B103"/>
    <mergeCell ref="C102:D102"/>
    <mergeCell ref="E102:E103"/>
    <mergeCell ref="C103:D103"/>
    <mergeCell ref="B104:B105"/>
    <mergeCell ref="C104:D104"/>
    <mergeCell ref="E104:E105"/>
    <mergeCell ref="F104:F105"/>
    <mergeCell ref="G104:G105"/>
    <mergeCell ref="F89:F90"/>
    <mergeCell ref="G89:G90"/>
    <mergeCell ref="H89:H90"/>
    <mergeCell ref="C90:D90"/>
    <mergeCell ref="C91:D91"/>
    <mergeCell ref="C92:D92"/>
    <mergeCell ref="C93:D93"/>
    <mergeCell ref="C94:D94"/>
    <mergeCell ref="C95:D95"/>
    <mergeCell ref="F82:F83"/>
    <mergeCell ref="G82:G83"/>
    <mergeCell ref="H82:H83"/>
    <mergeCell ref="C83:D83"/>
    <mergeCell ref="C84:D84"/>
    <mergeCell ref="C85:D85"/>
    <mergeCell ref="C86:D86"/>
    <mergeCell ref="C87:D87"/>
    <mergeCell ref="C88:D88"/>
    <mergeCell ref="B76:B78"/>
    <mergeCell ref="C76:D76"/>
    <mergeCell ref="C77:D77"/>
    <mergeCell ref="C78:D78"/>
    <mergeCell ref="B79:B80"/>
    <mergeCell ref="C79:D79"/>
    <mergeCell ref="E79:E80"/>
    <mergeCell ref="C80:D80"/>
    <mergeCell ref="B81:B101"/>
    <mergeCell ref="C81:D81"/>
    <mergeCell ref="E81:E98"/>
    <mergeCell ref="C82:D82"/>
    <mergeCell ref="C89:D89"/>
    <mergeCell ref="C96:D96"/>
    <mergeCell ref="C97:D97"/>
    <mergeCell ref="C98:D98"/>
    <mergeCell ref="C99:D99"/>
    <mergeCell ref="E99:E101"/>
    <mergeCell ref="C100:D100"/>
    <mergeCell ref="C101:D101"/>
    <mergeCell ref="F67:F68"/>
    <mergeCell ref="G67:G68"/>
    <mergeCell ref="H67:H68"/>
    <mergeCell ref="C68:D68"/>
    <mergeCell ref="C69:D69"/>
    <mergeCell ref="F69:F71"/>
    <mergeCell ref="G69:G71"/>
    <mergeCell ref="H69:H71"/>
    <mergeCell ref="C70:D70"/>
    <mergeCell ref="C71:D71"/>
    <mergeCell ref="B62:B65"/>
    <mergeCell ref="C62:D62"/>
    <mergeCell ref="E62:E65"/>
    <mergeCell ref="C63:D63"/>
    <mergeCell ref="C64:D64"/>
    <mergeCell ref="C65:D65"/>
    <mergeCell ref="B66:B75"/>
    <mergeCell ref="C66:D66"/>
    <mergeCell ref="E66:E75"/>
    <mergeCell ref="C67:D67"/>
    <mergeCell ref="C72:D72"/>
    <mergeCell ref="C73:D73"/>
    <mergeCell ref="C74:D74"/>
    <mergeCell ref="C75:D75"/>
    <mergeCell ref="B56:J56"/>
    <mergeCell ref="B57:B59"/>
    <mergeCell ref="C57:D59"/>
    <mergeCell ref="E57:K57"/>
    <mergeCell ref="I58:K58"/>
    <mergeCell ref="B60:B61"/>
    <mergeCell ref="C60:D60"/>
    <mergeCell ref="E60:E61"/>
    <mergeCell ref="C61:D61"/>
    <mergeCell ref="B37:M37"/>
    <mergeCell ref="B38:B40"/>
    <mergeCell ref="C38:M38"/>
    <mergeCell ref="C39:D39"/>
    <mergeCell ref="E39:F39"/>
    <mergeCell ref="G39:H39"/>
    <mergeCell ref="I39:J39"/>
    <mergeCell ref="K39:M39"/>
    <mergeCell ref="B52:L52"/>
    <mergeCell ref="B5:M5"/>
    <mergeCell ref="B6:M6"/>
    <mergeCell ref="P13:V13"/>
    <mergeCell ref="B14:L14"/>
    <mergeCell ref="B15:B17"/>
    <mergeCell ref="C15:M15"/>
    <mergeCell ref="C16:D16"/>
    <mergeCell ref="E16:F16"/>
    <mergeCell ref="G16:H16"/>
    <mergeCell ref="I16:J16"/>
    <mergeCell ref="K16:M16"/>
  </mergeCells>
  <hyperlinks>
    <hyperlink ref="N7" location="' Resumo projetos'!A1" display="Gráficos " xr:uid="{00000000-0004-0000-0100-000000000000}"/>
    <hyperlink ref="N8" location="capa!A1" display="Página Inicial" xr:uid="{00000000-0004-0000-0100-000001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52"/>
  <sheetViews>
    <sheetView showGridLines="0" showRowColHeaders="0" zoomScale="80" zoomScaleNormal="80" workbookViewId="0">
      <selection activeCell="G45" sqref="G45"/>
    </sheetView>
  </sheetViews>
  <sheetFormatPr defaultColWidth="0" defaultRowHeight="15" zeroHeight="1"/>
  <cols>
    <col min="1" max="1" width="3.7109375" customWidth="1"/>
    <col min="2" max="2" width="22.5703125" customWidth="1"/>
    <col min="3" max="3" width="9.42578125" customWidth="1"/>
    <col min="4" max="4" width="15.28515625" customWidth="1"/>
    <col min="5" max="5" width="15.42578125" customWidth="1"/>
    <col min="6" max="6" width="9.7109375" customWidth="1"/>
    <col min="7" max="7" width="16.28515625" customWidth="1"/>
    <col min="8" max="8" width="12.5703125" customWidth="1"/>
    <col min="9" max="9" width="9.7109375" customWidth="1"/>
    <col min="10" max="10" width="14.28515625" customWidth="1"/>
    <col min="11" max="11" width="15" customWidth="1"/>
    <col min="12" max="12" width="9.7109375" customWidth="1"/>
    <col min="13" max="13" width="13.5703125" customWidth="1"/>
    <col min="14" max="14" width="17" customWidth="1"/>
    <col min="15" max="15" width="9.140625" customWidth="1"/>
    <col min="16" max="1025" width="9.140625" hidden="1" customWidth="1"/>
    <col min="1026" max="16384" width="9.140625" hidden="1"/>
  </cols>
  <sheetData>
    <row r="1" spans="2:16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6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6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6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6" ht="18.75"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21"/>
      <c r="M5" s="21"/>
      <c r="N5" s="21"/>
    </row>
    <row r="6" spans="2:16" ht="22.5" customHeight="1">
      <c r="B6" s="383" t="s">
        <v>98</v>
      </c>
      <c r="C6" s="383"/>
      <c r="D6" s="383"/>
      <c r="E6" s="383"/>
      <c r="F6" s="383"/>
      <c r="G6" s="383"/>
      <c r="H6" s="383"/>
      <c r="I6" s="383"/>
      <c r="J6" s="383"/>
      <c r="K6" s="383"/>
      <c r="L6" s="102"/>
      <c r="M6" s="23"/>
      <c r="N6" s="27" t="s">
        <v>2</v>
      </c>
      <c r="O6" s="18"/>
      <c r="P6" s="18"/>
    </row>
    <row r="7" spans="2:16" ht="20.25" customHeight="1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384" t="s">
        <v>3</v>
      </c>
      <c r="N7" s="384"/>
      <c r="O7" s="18"/>
      <c r="P7" s="18"/>
    </row>
    <row r="8" spans="2:16" ht="16.5" hidden="1">
      <c r="B8" s="23"/>
      <c r="C8" s="23"/>
      <c r="D8" s="23"/>
      <c r="E8" s="23"/>
      <c r="F8" s="23"/>
      <c r="G8" s="23"/>
      <c r="H8" s="23"/>
      <c r="I8" s="23"/>
      <c r="J8" s="23"/>
      <c r="K8" s="23"/>
      <c r="L8" s="385"/>
      <c r="M8" s="385"/>
      <c r="N8" s="23"/>
      <c r="O8" s="104"/>
      <c r="P8" s="18"/>
    </row>
    <row r="9" spans="2:16" ht="1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8"/>
      <c r="P9" s="18"/>
    </row>
    <row r="10" spans="2:16" ht="15" customHeight="1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8"/>
      <c r="P10" s="18"/>
    </row>
    <row r="11" spans="2:16" ht="15" customHeight="1">
      <c r="B11" s="386" t="s">
        <v>99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</row>
    <row r="12" spans="2:16"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</row>
    <row r="13" spans="2:16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6" ht="36.75" customHeight="1">
      <c r="B14" s="10" t="s">
        <v>100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6">
      <c r="B15" s="8" t="s">
        <v>6</v>
      </c>
      <c r="C15" s="387" t="s">
        <v>101</v>
      </c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</row>
    <row r="16" spans="2:16" ht="27.75" customHeight="1">
      <c r="B16" s="8"/>
      <c r="C16" s="8">
        <v>2016</v>
      </c>
      <c r="D16" s="8"/>
      <c r="E16" s="8"/>
      <c r="F16" s="388">
        <v>2017</v>
      </c>
      <c r="G16" s="388"/>
      <c r="H16" s="388"/>
      <c r="I16" s="389">
        <v>2018</v>
      </c>
      <c r="J16" s="389"/>
      <c r="K16" s="389"/>
      <c r="L16" s="8">
        <v>2019</v>
      </c>
      <c r="M16" s="8"/>
      <c r="N16" s="8"/>
    </row>
    <row r="17" spans="2:14" ht="33" customHeight="1">
      <c r="B17" s="387"/>
      <c r="C17" s="106" t="s">
        <v>102</v>
      </c>
      <c r="D17" s="107" t="s">
        <v>103</v>
      </c>
      <c r="E17" s="108" t="s">
        <v>104</v>
      </c>
      <c r="F17" s="106" t="s">
        <v>102</v>
      </c>
      <c r="G17" s="106" t="s">
        <v>103</v>
      </c>
      <c r="H17" s="108" t="s">
        <v>104</v>
      </c>
      <c r="I17" s="106" t="s">
        <v>102</v>
      </c>
      <c r="J17" s="107" t="s">
        <v>103</v>
      </c>
      <c r="K17" s="108" t="s">
        <v>104</v>
      </c>
      <c r="L17" s="106" t="s">
        <v>102</v>
      </c>
      <c r="M17" s="107" t="s">
        <v>103</v>
      </c>
      <c r="N17" s="106" t="s">
        <v>104</v>
      </c>
    </row>
    <row r="18" spans="2:14">
      <c r="B18" s="76" t="s">
        <v>13</v>
      </c>
      <c r="C18" s="109" t="s">
        <v>18</v>
      </c>
      <c r="D18" s="110" t="s">
        <v>18</v>
      </c>
      <c r="E18" s="109" t="s">
        <v>18</v>
      </c>
      <c r="F18" s="109" t="s">
        <v>18</v>
      </c>
      <c r="G18" s="111" t="s">
        <v>18</v>
      </c>
      <c r="H18" s="109" t="s">
        <v>18</v>
      </c>
      <c r="I18" s="109" t="s">
        <v>18</v>
      </c>
      <c r="J18" s="112" t="s">
        <v>18</v>
      </c>
      <c r="K18" s="109" t="s">
        <v>18</v>
      </c>
      <c r="L18" s="109" t="s">
        <v>18</v>
      </c>
      <c r="M18" s="113" t="s">
        <v>18</v>
      </c>
      <c r="N18" s="109" t="s">
        <v>18</v>
      </c>
    </row>
    <row r="19" spans="2:14">
      <c r="B19" s="76" t="s">
        <v>14</v>
      </c>
      <c r="C19" s="113">
        <v>4</v>
      </c>
      <c r="D19" s="114" t="s">
        <v>18</v>
      </c>
      <c r="E19" s="57">
        <v>4</v>
      </c>
      <c r="F19" s="113">
        <v>1</v>
      </c>
      <c r="G19" s="111" t="s">
        <v>18</v>
      </c>
      <c r="H19" s="57">
        <v>1</v>
      </c>
      <c r="I19" s="115">
        <v>9</v>
      </c>
      <c r="J19" s="116" t="s">
        <v>105</v>
      </c>
      <c r="K19" s="57">
        <v>13</v>
      </c>
      <c r="L19" s="117">
        <v>1</v>
      </c>
      <c r="M19" s="113" t="s">
        <v>18</v>
      </c>
      <c r="N19" s="57">
        <v>2</v>
      </c>
    </row>
    <row r="20" spans="2:14">
      <c r="B20" s="76" t="s">
        <v>15</v>
      </c>
      <c r="C20" s="113">
        <v>2</v>
      </c>
      <c r="D20" s="114" t="s">
        <v>18</v>
      </c>
      <c r="E20" s="57">
        <v>2</v>
      </c>
      <c r="F20" s="113">
        <v>3</v>
      </c>
      <c r="G20" s="111" t="s">
        <v>18</v>
      </c>
      <c r="H20" s="57">
        <v>3</v>
      </c>
      <c r="I20" s="115">
        <v>1</v>
      </c>
      <c r="J20" s="116" t="s">
        <v>18</v>
      </c>
      <c r="K20" s="57">
        <v>2</v>
      </c>
      <c r="L20" s="113">
        <v>2</v>
      </c>
      <c r="M20" s="113" t="s">
        <v>18</v>
      </c>
      <c r="N20" s="57">
        <v>3</v>
      </c>
    </row>
    <row r="21" spans="2:14">
      <c r="B21" s="76" t="s">
        <v>16</v>
      </c>
      <c r="C21" s="113">
        <v>1</v>
      </c>
      <c r="D21" s="65" t="s">
        <v>18</v>
      </c>
      <c r="E21" s="57">
        <v>1</v>
      </c>
      <c r="F21" s="113" t="s">
        <v>18</v>
      </c>
      <c r="G21" s="118" t="s">
        <v>18</v>
      </c>
      <c r="H21" s="113" t="s">
        <v>18</v>
      </c>
      <c r="I21" s="115">
        <v>2</v>
      </c>
      <c r="J21" s="119" t="s">
        <v>18</v>
      </c>
      <c r="K21" s="57">
        <v>3</v>
      </c>
      <c r="L21" s="113">
        <v>1</v>
      </c>
      <c r="M21" s="113" t="s">
        <v>18</v>
      </c>
      <c r="N21" s="57">
        <v>1</v>
      </c>
    </row>
    <row r="22" spans="2:14">
      <c r="B22" s="76" t="s">
        <v>17</v>
      </c>
      <c r="C22" s="113" t="s">
        <v>18</v>
      </c>
      <c r="D22" s="65" t="s">
        <v>18</v>
      </c>
      <c r="E22" s="113" t="s">
        <v>18</v>
      </c>
      <c r="F22" s="113" t="s">
        <v>18</v>
      </c>
      <c r="G22" s="118" t="s">
        <v>18</v>
      </c>
      <c r="H22" s="113" t="s">
        <v>18</v>
      </c>
      <c r="I22" s="113" t="s">
        <v>18</v>
      </c>
      <c r="J22" s="119" t="s">
        <v>18</v>
      </c>
      <c r="K22" s="113" t="s">
        <v>18</v>
      </c>
      <c r="L22" s="113" t="s">
        <v>18</v>
      </c>
      <c r="M22" s="113" t="s">
        <v>18</v>
      </c>
      <c r="N22" s="113" t="s">
        <v>18</v>
      </c>
    </row>
    <row r="23" spans="2:14">
      <c r="B23" s="76" t="s">
        <v>19</v>
      </c>
      <c r="C23" s="113">
        <v>6</v>
      </c>
      <c r="D23" s="65" t="s">
        <v>18</v>
      </c>
      <c r="E23" s="57">
        <v>6</v>
      </c>
      <c r="F23" s="113">
        <v>5</v>
      </c>
      <c r="G23" s="120" t="s">
        <v>18</v>
      </c>
      <c r="H23" s="57">
        <v>5</v>
      </c>
      <c r="I23" s="115">
        <v>14</v>
      </c>
      <c r="J23" s="65" t="s">
        <v>18</v>
      </c>
      <c r="K23" s="57">
        <v>16</v>
      </c>
      <c r="L23" s="113" t="s">
        <v>18</v>
      </c>
      <c r="M23" s="113" t="s">
        <v>18</v>
      </c>
      <c r="N23" s="57">
        <v>3</v>
      </c>
    </row>
    <row r="24" spans="2:14">
      <c r="B24" s="76" t="s">
        <v>20</v>
      </c>
      <c r="C24" s="113" t="s">
        <v>18</v>
      </c>
      <c r="D24" s="65" t="s">
        <v>18</v>
      </c>
      <c r="E24" s="113" t="s">
        <v>18</v>
      </c>
      <c r="F24" s="113" t="s">
        <v>18</v>
      </c>
      <c r="G24" s="118" t="s">
        <v>18</v>
      </c>
      <c r="H24" s="113" t="s">
        <v>18</v>
      </c>
      <c r="I24" s="115" t="s">
        <v>18</v>
      </c>
      <c r="J24" s="119" t="s">
        <v>18</v>
      </c>
      <c r="K24" s="113" t="s">
        <v>18</v>
      </c>
      <c r="L24" s="115" t="s">
        <v>18</v>
      </c>
      <c r="M24" s="113" t="s">
        <v>18</v>
      </c>
      <c r="N24" s="113" t="s">
        <v>18</v>
      </c>
    </row>
    <row r="25" spans="2:14">
      <c r="B25" s="76" t="s">
        <v>21</v>
      </c>
      <c r="C25" s="113" t="s">
        <v>18</v>
      </c>
      <c r="D25" s="65" t="s">
        <v>18</v>
      </c>
      <c r="E25" s="113" t="s">
        <v>18</v>
      </c>
      <c r="F25" s="113" t="s">
        <v>18</v>
      </c>
      <c r="G25" s="118" t="s">
        <v>18</v>
      </c>
      <c r="H25" s="113" t="s">
        <v>18</v>
      </c>
      <c r="I25" s="113" t="s">
        <v>18</v>
      </c>
      <c r="J25" s="119" t="s">
        <v>18</v>
      </c>
      <c r="K25" s="113" t="s">
        <v>18</v>
      </c>
      <c r="L25" s="113" t="s">
        <v>18</v>
      </c>
      <c r="M25" s="113" t="s">
        <v>18</v>
      </c>
      <c r="N25" s="113" t="s">
        <v>18</v>
      </c>
    </row>
    <row r="26" spans="2:14">
      <c r="B26" s="76" t="s">
        <v>22</v>
      </c>
      <c r="C26" s="113" t="s">
        <v>18</v>
      </c>
      <c r="D26" s="65" t="s">
        <v>18</v>
      </c>
      <c r="E26" s="113" t="s">
        <v>18</v>
      </c>
      <c r="F26" s="113">
        <v>1</v>
      </c>
      <c r="G26" s="118" t="s">
        <v>18</v>
      </c>
      <c r="H26" s="113" t="s">
        <v>18</v>
      </c>
      <c r="I26" s="121">
        <v>1</v>
      </c>
      <c r="J26" s="119" t="s">
        <v>18</v>
      </c>
      <c r="K26" s="57">
        <v>1</v>
      </c>
      <c r="L26" s="113" t="s">
        <v>18</v>
      </c>
      <c r="M26" s="113" t="s">
        <v>18</v>
      </c>
      <c r="N26" s="57"/>
    </row>
    <row r="27" spans="2:14">
      <c r="B27" s="76" t="s">
        <v>23</v>
      </c>
      <c r="C27" s="113" t="s">
        <v>18</v>
      </c>
      <c r="D27" s="65" t="s">
        <v>18</v>
      </c>
      <c r="E27" s="113" t="s">
        <v>18</v>
      </c>
      <c r="F27" s="113" t="s">
        <v>18</v>
      </c>
      <c r="G27" s="118" t="s">
        <v>18</v>
      </c>
      <c r="H27" s="113" t="s">
        <v>18</v>
      </c>
      <c r="I27" s="113" t="s">
        <v>18</v>
      </c>
      <c r="J27" s="119" t="s">
        <v>18</v>
      </c>
      <c r="K27" s="113" t="s">
        <v>18</v>
      </c>
      <c r="L27" s="113" t="s">
        <v>18</v>
      </c>
      <c r="M27" s="113" t="s">
        <v>18</v>
      </c>
      <c r="N27" s="113" t="s">
        <v>18</v>
      </c>
    </row>
    <row r="28" spans="2:14">
      <c r="B28" s="76" t="s">
        <v>24</v>
      </c>
      <c r="C28" s="113" t="s">
        <v>18</v>
      </c>
      <c r="D28" s="65" t="s">
        <v>18</v>
      </c>
      <c r="E28" s="113" t="s">
        <v>18</v>
      </c>
      <c r="F28" s="113" t="s">
        <v>18</v>
      </c>
      <c r="G28" s="118" t="s">
        <v>18</v>
      </c>
      <c r="H28" s="113" t="s">
        <v>18</v>
      </c>
      <c r="I28" s="113" t="s">
        <v>18</v>
      </c>
      <c r="J28" s="119" t="s">
        <v>18</v>
      </c>
      <c r="K28" s="113" t="s">
        <v>18</v>
      </c>
      <c r="L28" s="113" t="s">
        <v>18</v>
      </c>
      <c r="M28" s="113" t="s">
        <v>18</v>
      </c>
      <c r="N28" s="113" t="s">
        <v>18</v>
      </c>
    </row>
    <row r="29" spans="2:14">
      <c r="B29" s="76" t="s">
        <v>25</v>
      </c>
      <c r="C29" s="113">
        <v>1</v>
      </c>
      <c r="D29" s="65" t="s">
        <v>18</v>
      </c>
      <c r="E29" s="57">
        <v>1</v>
      </c>
      <c r="F29" s="113" t="s">
        <v>18</v>
      </c>
      <c r="G29" s="118" t="s">
        <v>18</v>
      </c>
      <c r="H29" s="113" t="s">
        <v>18</v>
      </c>
      <c r="I29" s="115">
        <v>2</v>
      </c>
      <c r="J29" s="119" t="s">
        <v>18</v>
      </c>
      <c r="K29" s="57">
        <v>2</v>
      </c>
      <c r="L29" s="113" t="s">
        <v>18</v>
      </c>
      <c r="M29" s="113" t="s">
        <v>18</v>
      </c>
      <c r="N29" s="57"/>
    </row>
    <row r="30" spans="2:14">
      <c r="B30" s="76" t="s">
        <v>26</v>
      </c>
      <c r="C30" s="113" t="s">
        <v>18</v>
      </c>
      <c r="D30" s="65" t="s">
        <v>18</v>
      </c>
      <c r="E30" s="113" t="s">
        <v>18</v>
      </c>
      <c r="F30" s="113" t="s">
        <v>18</v>
      </c>
      <c r="G30" s="118" t="s">
        <v>18</v>
      </c>
      <c r="H30" s="113" t="s">
        <v>18</v>
      </c>
      <c r="I30" s="113" t="s">
        <v>18</v>
      </c>
      <c r="J30" s="119" t="s">
        <v>18</v>
      </c>
      <c r="K30" s="113" t="s">
        <v>18</v>
      </c>
      <c r="L30" s="113" t="s">
        <v>18</v>
      </c>
      <c r="M30" s="113" t="s">
        <v>18</v>
      </c>
      <c r="N30" s="113" t="s">
        <v>18</v>
      </c>
    </row>
    <row r="31" spans="2:14">
      <c r="B31" s="76" t="s">
        <v>27</v>
      </c>
      <c r="C31" s="113" t="s">
        <v>18</v>
      </c>
      <c r="D31" s="65">
        <v>1</v>
      </c>
      <c r="E31" s="113" t="s">
        <v>18</v>
      </c>
      <c r="F31" s="113" t="s">
        <v>18</v>
      </c>
      <c r="G31" s="118" t="s">
        <v>18</v>
      </c>
      <c r="H31" s="113" t="s">
        <v>18</v>
      </c>
      <c r="I31" s="113" t="s">
        <v>18</v>
      </c>
      <c r="J31" s="119" t="s">
        <v>18</v>
      </c>
      <c r="K31" s="57">
        <v>1</v>
      </c>
      <c r="L31" s="113" t="s">
        <v>18</v>
      </c>
      <c r="M31" s="113" t="s">
        <v>18</v>
      </c>
      <c r="N31" s="113" t="s">
        <v>18</v>
      </c>
    </row>
    <row r="32" spans="2:14">
      <c r="B32" s="76" t="s">
        <v>28</v>
      </c>
      <c r="C32" s="113" t="s">
        <v>18</v>
      </c>
      <c r="D32" s="65" t="s">
        <v>18</v>
      </c>
      <c r="E32" s="122" t="s">
        <v>18</v>
      </c>
      <c r="F32" s="122" t="s">
        <v>18</v>
      </c>
      <c r="G32" s="118" t="s">
        <v>18</v>
      </c>
      <c r="H32" s="113" t="s">
        <v>18</v>
      </c>
      <c r="I32" s="113" t="s">
        <v>18</v>
      </c>
      <c r="J32" s="123" t="s">
        <v>18</v>
      </c>
      <c r="K32" s="79">
        <v>1</v>
      </c>
      <c r="L32" s="113" t="s">
        <v>18</v>
      </c>
      <c r="M32" s="113" t="s">
        <v>18</v>
      </c>
      <c r="N32" s="122" t="s">
        <v>18</v>
      </c>
    </row>
    <row r="33" spans="2:14">
      <c r="B33" s="124" t="s">
        <v>29</v>
      </c>
      <c r="C33" s="125">
        <f>SUM(C18:C32)</f>
        <v>14</v>
      </c>
      <c r="D33" s="125">
        <f>SUM(D18:D32)</f>
        <v>1</v>
      </c>
      <c r="E33" s="125">
        <f>SUM(E18:E32)</f>
        <v>14</v>
      </c>
      <c r="F33" s="125">
        <f>SUM(F18:F32)</f>
        <v>10</v>
      </c>
      <c r="G33" s="126" t="s">
        <v>18</v>
      </c>
      <c r="H33" s="125">
        <f>SUM(H18:H32)</f>
        <v>9</v>
      </c>
      <c r="I33" s="125">
        <f>SUM(I18:I32)</f>
        <v>29</v>
      </c>
      <c r="J33" s="125">
        <v>2</v>
      </c>
      <c r="K33" s="125">
        <f>SUM(K18:K32)</f>
        <v>39</v>
      </c>
      <c r="L33" s="125">
        <f>SUM(L18:L32)</f>
        <v>4</v>
      </c>
      <c r="M33" s="127" t="s">
        <v>18</v>
      </c>
      <c r="N33" s="125">
        <f>SUM(N18:N32)</f>
        <v>9</v>
      </c>
    </row>
    <row r="34" spans="2:14"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</row>
    <row r="35" spans="2:14" ht="15.75">
      <c r="B35" s="390" t="s">
        <v>106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2:14" ht="15.75" customHeight="1">
      <c r="B36" s="391" t="s">
        <v>107</v>
      </c>
      <c r="C36" s="391"/>
      <c r="D36" s="391"/>
      <c r="E36" s="391"/>
      <c r="F36" s="391"/>
      <c r="G36" s="87"/>
      <c r="H36" s="131"/>
      <c r="I36" s="131"/>
      <c r="J36" s="131"/>
      <c r="K36" s="131"/>
      <c r="L36" s="131"/>
      <c r="M36" s="131"/>
      <c r="N36" s="131"/>
    </row>
    <row r="37" spans="2:14">
      <c r="G37" s="132"/>
      <c r="H37" s="131"/>
      <c r="I37" s="131"/>
      <c r="J37" s="131"/>
      <c r="K37" s="131"/>
      <c r="L37" s="131"/>
      <c r="M37" s="131"/>
      <c r="N37" s="131"/>
    </row>
    <row r="38" spans="2:14" ht="36" customHeight="1">
      <c r="B38" s="10" t="s">
        <v>108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>
      <c r="B39" s="8" t="s">
        <v>31</v>
      </c>
      <c r="C39" s="387" t="s">
        <v>101</v>
      </c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</row>
    <row r="40" spans="2:14">
      <c r="B40" s="8"/>
      <c r="C40" s="387">
        <v>2016</v>
      </c>
      <c r="D40" s="387"/>
      <c r="E40" s="387"/>
      <c r="F40" s="387">
        <v>2017</v>
      </c>
      <c r="G40" s="387"/>
      <c r="H40" s="387"/>
      <c r="I40" s="387">
        <v>2018</v>
      </c>
      <c r="J40" s="387"/>
      <c r="K40" s="387"/>
      <c r="L40" s="387">
        <v>2019</v>
      </c>
      <c r="M40" s="387"/>
      <c r="N40" s="387"/>
    </row>
    <row r="41" spans="2:14" ht="25.5">
      <c r="B41" s="387"/>
      <c r="C41" s="106" t="s">
        <v>102</v>
      </c>
      <c r="D41" s="107" t="s">
        <v>103</v>
      </c>
      <c r="E41" s="108" t="s">
        <v>104</v>
      </c>
      <c r="F41" s="106" t="s">
        <v>102</v>
      </c>
      <c r="G41" s="107" t="s">
        <v>103</v>
      </c>
      <c r="H41" s="108" t="s">
        <v>104</v>
      </c>
      <c r="I41" s="106" t="s">
        <v>102</v>
      </c>
      <c r="J41" s="107" t="s">
        <v>103</v>
      </c>
      <c r="K41" s="108" t="s">
        <v>104</v>
      </c>
      <c r="L41" s="106" t="s">
        <v>102</v>
      </c>
      <c r="M41" s="107" t="s">
        <v>103</v>
      </c>
      <c r="N41" s="106" t="s">
        <v>104</v>
      </c>
    </row>
    <row r="42" spans="2:14">
      <c r="B42" s="76" t="s">
        <v>32</v>
      </c>
      <c r="C42" s="113">
        <v>1</v>
      </c>
      <c r="D42" s="133" t="s">
        <v>18</v>
      </c>
      <c r="E42" s="48">
        <v>1</v>
      </c>
      <c r="F42" s="121">
        <v>2</v>
      </c>
      <c r="G42" s="133" t="s">
        <v>18</v>
      </c>
      <c r="H42" s="48">
        <v>2</v>
      </c>
      <c r="I42" s="134">
        <v>9</v>
      </c>
      <c r="J42" s="133" t="s">
        <v>18</v>
      </c>
      <c r="K42" s="48">
        <v>9</v>
      </c>
      <c r="L42" s="117">
        <v>1</v>
      </c>
      <c r="M42" s="113" t="s">
        <v>18</v>
      </c>
      <c r="N42" s="48">
        <v>4</v>
      </c>
    </row>
    <row r="43" spans="2:14">
      <c r="B43" s="76" t="s">
        <v>33</v>
      </c>
      <c r="C43" s="113">
        <v>2</v>
      </c>
      <c r="D43" s="65" t="s">
        <v>18</v>
      </c>
      <c r="E43" s="57">
        <v>2</v>
      </c>
      <c r="F43" s="121">
        <v>1</v>
      </c>
      <c r="G43" s="65" t="s">
        <v>18</v>
      </c>
      <c r="H43" s="57">
        <v>1</v>
      </c>
      <c r="I43" s="115">
        <v>5</v>
      </c>
      <c r="J43" s="65" t="s">
        <v>18</v>
      </c>
      <c r="K43" s="57">
        <v>7</v>
      </c>
      <c r="L43" s="113" t="s">
        <v>18</v>
      </c>
      <c r="M43" s="113" t="s">
        <v>18</v>
      </c>
      <c r="N43" s="113" t="s">
        <v>18</v>
      </c>
    </row>
    <row r="44" spans="2:14">
      <c r="B44" s="76" t="s">
        <v>34</v>
      </c>
      <c r="C44" s="113" t="s">
        <v>18</v>
      </c>
      <c r="D44" s="65" t="s">
        <v>18</v>
      </c>
      <c r="E44" s="113" t="s">
        <v>18</v>
      </c>
      <c r="F44" s="121" t="s">
        <v>18</v>
      </c>
      <c r="G44" s="65" t="s">
        <v>18</v>
      </c>
      <c r="H44" s="113" t="s">
        <v>18</v>
      </c>
      <c r="I44" s="115">
        <v>2</v>
      </c>
      <c r="J44" s="65" t="s">
        <v>18</v>
      </c>
      <c r="K44" s="113" t="s">
        <v>18</v>
      </c>
      <c r="L44" s="113" t="s">
        <v>18</v>
      </c>
      <c r="M44" s="113" t="s">
        <v>18</v>
      </c>
      <c r="N44" s="113" t="s">
        <v>18</v>
      </c>
    </row>
    <row r="45" spans="2:14">
      <c r="B45" s="76" t="s">
        <v>35</v>
      </c>
      <c r="C45" s="113">
        <v>2</v>
      </c>
      <c r="D45" s="65" t="s">
        <v>18</v>
      </c>
      <c r="E45" s="57">
        <v>2</v>
      </c>
      <c r="F45" s="121">
        <v>1</v>
      </c>
      <c r="G45" s="65" t="s">
        <v>18</v>
      </c>
      <c r="H45" s="57">
        <v>1</v>
      </c>
      <c r="I45" s="115">
        <v>1</v>
      </c>
      <c r="J45" s="65" t="s">
        <v>18</v>
      </c>
      <c r="K45" s="57">
        <v>2</v>
      </c>
      <c r="L45" s="113">
        <v>1</v>
      </c>
      <c r="M45" s="113" t="s">
        <v>18</v>
      </c>
      <c r="N45" s="57">
        <v>1</v>
      </c>
    </row>
    <row r="46" spans="2:14">
      <c r="B46" s="76" t="s">
        <v>36</v>
      </c>
      <c r="C46" s="113">
        <v>5</v>
      </c>
      <c r="D46" s="65" t="s">
        <v>18</v>
      </c>
      <c r="E46" s="57">
        <v>5</v>
      </c>
      <c r="F46" s="121">
        <v>1</v>
      </c>
      <c r="G46" s="65" t="s">
        <v>18</v>
      </c>
      <c r="H46" s="57">
        <v>1</v>
      </c>
      <c r="I46" s="115">
        <v>8</v>
      </c>
      <c r="J46" s="65">
        <v>2</v>
      </c>
      <c r="K46" s="57">
        <v>16</v>
      </c>
      <c r="L46" s="117">
        <v>1</v>
      </c>
      <c r="M46" s="113" t="s">
        <v>18</v>
      </c>
      <c r="N46" s="57">
        <v>2</v>
      </c>
    </row>
    <row r="47" spans="2:14">
      <c r="B47" s="76" t="s">
        <v>37</v>
      </c>
      <c r="C47" s="113" t="s">
        <v>18</v>
      </c>
      <c r="D47" s="65">
        <v>1</v>
      </c>
      <c r="E47" s="113" t="s">
        <v>18</v>
      </c>
      <c r="F47" s="121" t="s">
        <v>18</v>
      </c>
      <c r="G47" s="65" t="s">
        <v>18</v>
      </c>
      <c r="H47" s="113" t="s">
        <v>18</v>
      </c>
      <c r="I47" s="115" t="s">
        <v>18</v>
      </c>
      <c r="J47" s="65" t="s">
        <v>18</v>
      </c>
      <c r="K47" s="57">
        <v>1</v>
      </c>
      <c r="L47" s="113" t="s">
        <v>18</v>
      </c>
      <c r="M47" s="113" t="s">
        <v>18</v>
      </c>
      <c r="N47" s="113" t="s">
        <v>18</v>
      </c>
    </row>
    <row r="48" spans="2:14">
      <c r="B48" s="76" t="s">
        <v>38</v>
      </c>
      <c r="C48" s="113">
        <v>3</v>
      </c>
      <c r="D48" s="65" t="s">
        <v>18</v>
      </c>
      <c r="E48" s="57">
        <v>3</v>
      </c>
      <c r="F48" s="121">
        <v>3</v>
      </c>
      <c r="G48" s="65" t="s">
        <v>18</v>
      </c>
      <c r="H48" s="57">
        <v>3</v>
      </c>
      <c r="I48" s="115">
        <v>4</v>
      </c>
      <c r="J48" s="65" t="s">
        <v>18</v>
      </c>
      <c r="K48" s="57">
        <v>4</v>
      </c>
      <c r="L48" s="113" t="s">
        <v>18</v>
      </c>
      <c r="M48" s="113" t="s">
        <v>18</v>
      </c>
      <c r="N48" s="113">
        <v>2</v>
      </c>
    </row>
    <row r="49" spans="2:14">
      <c r="B49" s="76" t="s">
        <v>39</v>
      </c>
      <c r="C49" s="113">
        <v>1</v>
      </c>
      <c r="D49" s="135" t="s">
        <v>18</v>
      </c>
      <c r="E49" s="57">
        <v>1</v>
      </c>
      <c r="F49" s="121">
        <v>2</v>
      </c>
      <c r="G49" s="65" t="s">
        <v>18</v>
      </c>
      <c r="H49" s="57">
        <v>1</v>
      </c>
      <c r="I49" s="115" t="s">
        <v>18</v>
      </c>
      <c r="J49" s="135" t="s">
        <v>18</v>
      </c>
      <c r="K49" s="57">
        <v>0</v>
      </c>
      <c r="L49" s="113">
        <v>1</v>
      </c>
      <c r="M49" s="113" t="s">
        <v>18</v>
      </c>
      <c r="N49" s="113" t="s">
        <v>18</v>
      </c>
    </row>
    <row r="50" spans="2:14" ht="15" customHeight="1">
      <c r="B50" s="136" t="s">
        <v>29</v>
      </c>
      <c r="C50" s="137">
        <f>SUM(C42:C49)</f>
        <v>14</v>
      </c>
      <c r="D50" s="137">
        <f>SUM(D42:D49)</f>
        <v>1</v>
      </c>
      <c r="E50" s="137">
        <f>SUM(E42:E49)</f>
        <v>14</v>
      </c>
      <c r="F50" s="138">
        <f>SUM(F42:F49)</f>
        <v>10</v>
      </c>
      <c r="G50" s="139" t="s">
        <v>18</v>
      </c>
      <c r="H50" s="137">
        <f>SUM(H42:H49)</f>
        <v>9</v>
      </c>
      <c r="I50" s="137">
        <f>SUM(I42:I49)</f>
        <v>29</v>
      </c>
      <c r="J50" s="137">
        <f>SUM(J42:J49)</f>
        <v>2</v>
      </c>
      <c r="K50" s="137">
        <f>SUM(K42:K49)</f>
        <v>39</v>
      </c>
      <c r="L50" s="137">
        <f>SUM(L42:L49)</f>
        <v>4</v>
      </c>
      <c r="M50" s="127" t="s">
        <v>18</v>
      </c>
      <c r="N50" s="137">
        <f>SUM(N42:N49)</f>
        <v>9</v>
      </c>
    </row>
    <row r="51" spans="2:14"/>
    <row r="52" spans="2:14"/>
  </sheetData>
  <mergeCells count="22">
    <mergeCell ref="B35:N35"/>
    <mergeCell ref="B36:F36"/>
    <mergeCell ref="B38:N38"/>
    <mergeCell ref="B39:B41"/>
    <mergeCell ref="C39:N39"/>
    <mergeCell ref="C40:E40"/>
    <mergeCell ref="F40:H40"/>
    <mergeCell ref="I40:K40"/>
    <mergeCell ref="L40:N40"/>
    <mergeCell ref="B13:N13"/>
    <mergeCell ref="B14:N14"/>
    <mergeCell ref="B15:B17"/>
    <mergeCell ref="C15:N15"/>
    <mergeCell ref="C16:E16"/>
    <mergeCell ref="F16:H16"/>
    <mergeCell ref="I16:K16"/>
    <mergeCell ref="L16:N16"/>
    <mergeCell ref="B5:K5"/>
    <mergeCell ref="B6:K6"/>
    <mergeCell ref="M7:N7"/>
    <mergeCell ref="L8:M8"/>
    <mergeCell ref="B11:N12"/>
  </mergeCells>
  <hyperlinks>
    <hyperlink ref="N6" location="' Resumo projetos'!A1" display="Gráficos " xr:uid="{00000000-0004-0000-0200-000000000000}"/>
    <hyperlink ref="M7" location="capa!A1" display="Página Inicial" xr:uid="{00000000-0004-0000-0200-000001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49"/>
  <sheetViews>
    <sheetView showGridLines="0" showRowColHeaders="0" topLeftCell="A31" zoomScale="80" zoomScaleNormal="80" workbookViewId="0">
      <selection activeCell="AMN1" sqref="AMN1:XFD1048576"/>
    </sheetView>
  </sheetViews>
  <sheetFormatPr defaultColWidth="0" defaultRowHeight="15" zeroHeight="1"/>
  <cols>
    <col min="1" max="1" width="3.7109375" style="140" customWidth="1"/>
    <col min="2" max="2" width="28" style="140" customWidth="1"/>
    <col min="3" max="5" width="11.7109375" style="140" customWidth="1"/>
    <col min="6" max="6" width="11.7109375" style="141" customWidth="1"/>
    <col min="7" max="8" width="5.7109375" style="141" customWidth="1"/>
    <col min="9" max="10" width="6.7109375" style="141" hidden="1" customWidth="1"/>
    <col min="11" max="11" width="5.85546875" style="141" hidden="1" customWidth="1"/>
    <col min="12" max="12" width="5.7109375" style="141" hidden="1" customWidth="1"/>
    <col min="13" max="13" width="6.28515625" style="141" hidden="1" customWidth="1"/>
    <col min="14" max="14" width="12.28515625" style="141" hidden="1" customWidth="1"/>
    <col min="15" max="15" width="12.28515625" style="140" hidden="1" customWidth="1"/>
    <col min="16" max="1025" width="9.140625" style="140" hidden="1" customWidth="1"/>
    <col min="1026" max="1027" width="9.140625" customWidth="1"/>
    <col min="1028" max="16384" width="9.140625" hidden="1"/>
  </cols>
  <sheetData>
    <row r="1" spans="2:14" ht="15.75">
      <c r="F1" s="142"/>
      <c r="G1" s="142"/>
      <c r="H1" s="142"/>
      <c r="I1" s="142"/>
      <c r="J1" s="142"/>
      <c r="K1" s="142"/>
    </row>
    <row r="2" spans="2:14" ht="15.75">
      <c r="F2" s="142"/>
      <c r="G2" s="142"/>
      <c r="H2" s="142"/>
      <c r="I2" s="142"/>
      <c r="J2" s="142"/>
      <c r="K2" s="142"/>
    </row>
    <row r="3" spans="2:14" ht="15.75">
      <c r="F3" s="142"/>
      <c r="G3" s="142"/>
      <c r="H3" s="142"/>
      <c r="I3" s="142"/>
      <c r="J3" s="142"/>
      <c r="K3" s="34"/>
      <c r="L3" s="34"/>
    </row>
    <row r="4" spans="2:14" ht="15.75">
      <c r="F4" s="142"/>
      <c r="G4" s="142"/>
      <c r="H4" s="142"/>
      <c r="I4" s="142"/>
      <c r="J4" s="142"/>
      <c r="K4" s="142"/>
    </row>
    <row r="5" spans="2:14" ht="18.75">
      <c r="B5" s="143" t="s">
        <v>0</v>
      </c>
      <c r="C5" s="143"/>
      <c r="D5" s="143"/>
      <c r="E5" s="143"/>
      <c r="F5" s="143"/>
      <c r="G5" s="143"/>
      <c r="H5" s="142"/>
      <c r="I5" s="142"/>
      <c r="J5" s="142"/>
      <c r="K5" s="142"/>
    </row>
    <row r="6" spans="2:14" ht="18.75">
      <c r="B6" s="12" t="s">
        <v>109</v>
      </c>
      <c r="C6" s="12"/>
      <c r="D6" s="12"/>
      <c r="E6" s="12"/>
      <c r="F6" s="12"/>
      <c r="G6" s="143"/>
      <c r="H6" s="142"/>
      <c r="I6" s="142"/>
      <c r="J6" s="142"/>
      <c r="K6" s="142"/>
      <c r="M6" s="392"/>
      <c r="N6" s="392"/>
    </row>
    <row r="7" spans="2:14" ht="15.75">
      <c r="B7" s="24"/>
      <c r="C7" s="24"/>
      <c r="D7" s="24"/>
      <c r="E7" s="25"/>
      <c r="F7" s="25"/>
      <c r="G7" s="25"/>
      <c r="H7" s="142"/>
      <c r="I7" s="142"/>
      <c r="J7" s="142"/>
      <c r="K7" s="142"/>
    </row>
    <row r="8" spans="2:14" ht="16.5">
      <c r="B8" s="24"/>
      <c r="C8" s="24"/>
      <c r="D8" s="24"/>
      <c r="E8" s="25"/>
      <c r="F8" s="393" t="s">
        <v>3</v>
      </c>
      <c r="G8" s="393"/>
      <c r="H8" s="142"/>
      <c r="I8" s="142"/>
      <c r="J8" s="142"/>
      <c r="K8" s="142"/>
    </row>
    <row r="9" spans="2:14" ht="15.75">
      <c r="F9" s="142"/>
      <c r="G9" s="142"/>
      <c r="H9" s="142"/>
      <c r="I9" s="142"/>
      <c r="J9" s="142"/>
      <c r="K9" s="142"/>
    </row>
    <row r="10" spans="2:14" ht="15.75">
      <c r="B10" s="394" t="s">
        <v>110</v>
      </c>
      <c r="C10" s="394"/>
      <c r="D10" s="394"/>
      <c r="E10" s="394"/>
      <c r="F10" s="394"/>
    </row>
    <row r="11" spans="2:14">
      <c r="B11" s="144"/>
      <c r="C11" s="144"/>
      <c r="D11" s="144"/>
      <c r="E11" s="144"/>
      <c r="F11" s="144"/>
    </row>
    <row r="12" spans="2:14">
      <c r="F12" s="140"/>
    </row>
    <row r="13" spans="2:14" ht="26.85" customHeight="1">
      <c r="B13" s="10" t="s">
        <v>111</v>
      </c>
      <c r="C13" s="10"/>
      <c r="D13" s="10"/>
      <c r="E13" s="10"/>
      <c r="F13" s="10"/>
    </row>
    <row r="14" spans="2:14" ht="13.9" customHeight="1">
      <c r="B14" s="395" t="s">
        <v>6</v>
      </c>
      <c r="C14" s="396" t="s">
        <v>112</v>
      </c>
      <c r="D14" s="396"/>
      <c r="E14" s="396"/>
      <c r="F14" s="396"/>
    </row>
    <row r="15" spans="2:14">
      <c r="B15" s="395"/>
      <c r="C15" s="146">
        <v>2016</v>
      </c>
      <c r="D15" s="147">
        <v>2017</v>
      </c>
      <c r="E15" s="146">
        <v>2018</v>
      </c>
      <c r="F15" s="146">
        <v>2019</v>
      </c>
    </row>
    <row r="16" spans="2:14">
      <c r="B16" s="148" t="s">
        <v>13</v>
      </c>
      <c r="C16" s="48" t="s">
        <v>18</v>
      </c>
      <c r="D16" s="48">
        <v>2</v>
      </c>
      <c r="E16" s="48" t="s">
        <v>18</v>
      </c>
      <c r="F16" s="73"/>
    </row>
    <row r="17" spans="2:6">
      <c r="B17" s="149" t="s">
        <v>14</v>
      </c>
      <c r="C17" s="57" t="s">
        <v>18</v>
      </c>
      <c r="D17" s="57">
        <v>4</v>
      </c>
      <c r="E17" s="57" t="s">
        <v>18</v>
      </c>
      <c r="F17" s="52">
        <v>1</v>
      </c>
    </row>
    <row r="18" spans="2:6">
      <c r="B18" s="149" t="s">
        <v>15</v>
      </c>
      <c r="C18" s="57">
        <v>1</v>
      </c>
      <c r="D18" s="57">
        <v>8</v>
      </c>
      <c r="E18" s="57">
        <v>5</v>
      </c>
      <c r="F18" s="52"/>
    </row>
    <row r="19" spans="2:6">
      <c r="B19" s="149" t="s">
        <v>16</v>
      </c>
      <c r="C19" s="57" t="s">
        <v>18</v>
      </c>
      <c r="D19" s="57">
        <v>2</v>
      </c>
      <c r="E19" s="57">
        <v>2</v>
      </c>
      <c r="F19" s="52"/>
    </row>
    <row r="20" spans="2:6">
      <c r="B20" s="149" t="s">
        <v>17</v>
      </c>
      <c r="C20" s="57" t="s">
        <v>18</v>
      </c>
      <c r="D20" s="57">
        <v>3</v>
      </c>
      <c r="E20" s="57" t="s">
        <v>18</v>
      </c>
      <c r="F20" s="52"/>
    </row>
    <row r="21" spans="2:6">
      <c r="B21" s="149" t="s">
        <v>113</v>
      </c>
      <c r="C21" s="57">
        <v>6</v>
      </c>
      <c r="D21" s="57">
        <v>16</v>
      </c>
      <c r="E21" s="57">
        <v>8</v>
      </c>
      <c r="F21" s="52"/>
    </row>
    <row r="22" spans="2:6">
      <c r="B22" s="149" t="s">
        <v>20</v>
      </c>
      <c r="C22" s="57" t="s">
        <v>18</v>
      </c>
      <c r="D22" s="57">
        <v>1</v>
      </c>
      <c r="E22" s="57" t="s">
        <v>18</v>
      </c>
      <c r="F22" s="52"/>
    </row>
    <row r="23" spans="2:6">
      <c r="B23" s="149" t="s">
        <v>21</v>
      </c>
      <c r="C23" s="57" t="s">
        <v>18</v>
      </c>
      <c r="D23" s="57" t="s">
        <v>18</v>
      </c>
      <c r="E23" s="57" t="s">
        <v>18</v>
      </c>
      <c r="F23" s="52"/>
    </row>
    <row r="24" spans="2:6">
      <c r="B24" s="149" t="s">
        <v>22</v>
      </c>
      <c r="C24" s="57" t="s">
        <v>18</v>
      </c>
      <c r="D24" s="57">
        <v>4</v>
      </c>
      <c r="E24" s="57">
        <v>1</v>
      </c>
      <c r="F24" s="52"/>
    </row>
    <row r="25" spans="2:6">
      <c r="B25" s="149" t="s">
        <v>23</v>
      </c>
      <c r="C25" s="57">
        <v>1</v>
      </c>
      <c r="D25" s="57" t="s">
        <v>18</v>
      </c>
      <c r="E25" s="57" t="s">
        <v>18</v>
      </c>
      <c r="F25" s="52"/>
    </row>
    <row r="26" spans="2:6">
      <c r="B26" s="149" t="s">
        <v>24</v>
      </c>
      <c r="C26" s="57" t="s">
        <v>18</v>
      </c>
      <c r="D26" s="57" t="s">
        <v>18</v>
      </c>
      <c r="E26" s="57">
        <v>1</v>
      </c>
      <c r="F26" s="52"/>
    </row>
    <row r="27" spans="2:6">
      <c r="B27" s="149" t="s">
        <v>25</v>
      </c>
      <c r="C27" s="57" t="s">
        <v>18</v>
      </c>
      <c r="D27" s="57">
        <v>1</v>
      </c>
      <c r="E27" s="57" t="s">
        <v>18</v>
      </c>
      <c r="F27" s="52"/>
    </row>
    <row r="28" spans="2:6">
      <c r="B28" s="149" t="s">
        <v>26</v>
      </c>
      <c r="C28" s="57">
        <v>1</v>
      </c>
      <c r="D28" s="57" t="s">
        <v>18</v>
      </c>
      <c r="E28" s="57">
        <v>2</v>
      </c>
      <c r="F28" s="52"/>
    </row>
    <row r="29" spans="2:6">
      <c r="B29" s="149" t="s">
        <v>27</v>
      </c>
      <c r="C29" s="57" t="s">
        <v>18</v>
      </c>
      <c r="D29" s="57">
        <v>1</v>
      </c>
      <c r="E29" s="57">
        <v>1</v>
      </c>
      <c r="F29" s="52"/>
    </row>
    <row r="30" spans="2:6">
      <c r="B30" s="150" t="s">
        <v>28</v>
      </c>
      <c r="C30" s="79" t="s">
        <v>18</v>
      </c>
      <c r="D30" s="79" t="s">
        <v>18</v>
      </c>
      <c r="E30" s="79">
        <v>2</v>
      </c>
      <c r="F30" s="80"/>
    </row>
    <row r="31" spans="2:6">
      <c r="B31" s="151" t="s">
        <v>29</v>
      </c>
      <c r="C31" s="125">
        <f>SUM(C16:C30)</f>
        <v>9</v>
      </c>
      <c r="D31" s="125">
        <f>SUM(D16:D30)</f>
        <v>42</v>
      </c>
      <c r="E31" s="125">
        <f>SUM(E16:E30)</f>
        <v>22</v>
      </c>
      <c r="F31" s="125">
        <f>SUM(F16:F30)</f>
        <v>1</v>
      </c>
    </row>
    <row r="32" spans="2:6">
      <c r="B32" s="131"/>
      <c r="C32" s="131"/>
      <c r="D32" s="131"/>
      <c r="E32" s="131"/>
      <c r="F32" s="131"/>
    </row>
    <row r="33" spans="2:6">
      <c r="B33" s="131"/>
      <c r="C33" s="131"/>
      <c r="D33" s="131"/>
      <c r="E33" s="131"/>
      <c r="F33" s="131"/>
    </row>
    <row r="34" spans="2:6">
      <c r="B34" s="131"/>
      <c r="C34" s="131"/>
      <c r="D34" s="131"/>
      <c r="E34" s="131"/>
      <c r="F34" s="131"/>
    </row>
    <row r="35" spans="2:6" ht="26.85" customHeight="1">
      <c r="B35" s="10" t="s">
        <v>111</v>
      </c>
      <c r="C35" s="10"/>
      <c r="D35" s="10"/>
      <c r="E35" s="10"/>
      <c r="F35" s="10"/>
    </row>
    <row r="36" spans="2:6">
      <c r="B36" s="397" t="s">
        <v>31</v>
      </c>
      <c r="C36" s="396" t="s">
        <v>112</v>
      </c>
      <c r="D36" s="396"/>
      <c r="E36" s="396"/>
      <c r="F36" s="396"/>
    </row>
    <row r="37" spans="2:6">
      <c r="B37" s="397"/>
      <c r="C37" s="146">
        <v>2016</v>
      </c>
      <c r="D37" s="146">
        <v>2017</v>
      </c>
      <c r="E37" s="146">
        <v>2018</v>
      </c>
      <c r="F37" s="146">
        <v>2019</v>
      </c>
    </row>
    <row r="38" spans="2:6">
      <c r="B38" s="152" t="s">
        <v>32</v>
      </c>
      <c r="C38" s="48">
        <v>1</v>
      </c>
      <c r="D38" s="153">
        <v>9</v>
      </c>
      <c r="E38" s="48">
        <v>3</v>
      </c>
      <c r="F38" s="73"/>
    </row>
    <row r="39" spans="2:6">
      <c r="B39" s="76" t="s">
        <v>33</v>
      </c>
      <c r="C39" s="57" t="s">
        <v>18</v>
      </c>
      <c r="D39" s="49">
        <v>5</v>
      </c>
      <c r="E39" s="57">
        <v>1</v>
      </c>
      <c r="F39" s="52"/>
    </row>
    <row r="40" spans="2:6">
      <c r="B40" s="76" t="s">
        <v>34</v>
      </c>
      <c r="C40" s="57" t="s">
        <v>18</v>
      </c>
      <c r="D40" s="49">
        <v>1</v>
      </c>
      <c r="E40" s="57" t="s">
        <v>18</v>
      </c>
      <c r="F40" s="52"/>
    </row>
    <row r="41" spans="2:6">
      <c r="B41" s="76" t="s">
        <v>35</v>
      </c>
      <c r="C41" s="57">
        <v>1</v>
      </c>
      <c r="D41" s="49">
        <v>2</v>
      </c>
      <c r="E41" s="57">
        <v>2</v>
      </c>
      <c r="F41" s="52"/>
    </row>
    <row r="42" spans="2:6">
      <c r="B42" s="76" t="s">
        <v>36</v>
      </c>
      <c r="C42" s="57">
        <v>1</v>
      </c>
      <c r="D42" s="49">
        <v>6</v>
      </c>
      <c r="E42" s="57">
        <v>2</v>
      </c>
      <c r="F42" s="52">
        <v>1</v>
      </c>
    </row>
    <row r="43" spans="2:6">
      <c r="B43" s="76" t="s">
        <v>37</v>
      </c>
      <c r="C43" s="57">
        <v>1</v>
      </c>
      <c r="D43" s="49">
        <v>1</v>
      </c>
      <c r="E43" s="57">
        <v>7</v>
      </c>
      <c r="F43" s="52"/>
    </row>
    <row r="44" spans="2:6">
      <c r="B44" s="76" t="s">
        <v>38</v>
      </c>
      <c r="C44" s="57">
        <v>2</v>
      </c>
      <c r="D44" s="49">
        <v>11</v>
      </c>
      <c r="E44" s="57">
        <v>3</v>
      </c>
      <c r="F44" s="77"/>
    </row>
    <row r="45" spans="2:6">
      <c r="B45" s="78" t="s">
        <v>39</v>
      </c>
      <c r="C45" s="79">
        <v>3</v>
      </c>
      <c r="D45" s="154">
        <v>7</v>
      </c>
      <c r="E45" s="79">
        <v>4</v>
      </c>
      <c r="F45" s="81"/>
    </row>
    <row r="46" spans="2:6">
      <c r="B46" s="155" t="s">
        <v>29</v>
      </c>
      <c r="C46" s="137">
        <f>SUM(C38:C45)</f>
        <v>9</v>
      </c>
      <c r="D46" s="137">
        <f>SUM(D38:D45)</f>
        <v>42</v>
      </c>
      <c r="E46" s="137">
        <f>SUM(E38:E45)</f>
        <v>22</v>
      </c>
      <c r="F46" s="137">
        <f>SUM(F38:F45)</f>
        <v>1</v>
      </c>
    </row>
    <row r="47" spans="2:6"/>
    <row r="48" spans="2:6" ht="30" customHeight="1">
      <c r="B48" s="398" t="s">
        <v>114</v>
      </c>
      <c r="C48" s="398"/>
      <c r="D48" s="398"/>
      <c r="E48" s="398"/>
      <c r="F48" s="398"/>
    </row>
    <row r="49"/>
  </sheetData>
  <mergeCells count="11">
    <mergeCell ref="B48:F48"/>
    <mergeCell ref="B14:B15"/>
    <mergeCell ref="C14:F14"/>
    <mergeCell ref="B35:F35"/>
    <mergeCell ref="B36:B37"/>
    <mergeCell ref="C36:F36"/>
    <mergeCell ref="B6:F6"/>
    <mergeCell ref="M6:N6"/>
    <mergeCell ref="F8:G8"/>
    <mergeCell ref="B10:F10"/>
    <mergeCell ref="B13:F13"/>
  </mergeCells>
  <hyperlinks>
    <hyperlink ref="F8" location="capa!A1" display="Página Inicial" xr:uid="{00000000-0004-0000-0300-000000000000}"/>
  </hyperlinks>
  <pageMargins left="0.25" right="0.25" top="0.75" bottom="0.75" header="0.51180555555555496" footer="0.51180555555555496"/>
  <pageSetup paperSize="9" firstPageNumber="0" orientation="landscape" horizontalDpi="300" verticalDpi="300"/>
  <ignoredErrors>
    <ignoredError sqref="D46:F46 F3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40"/>
  <sheetViews>
    <sheetView showGridLines="0" showRowColHeaders="0" zoomScale="80" zoomScaleNormal="80" workbookViewId="0">
      <selection activeCell="H8" sqref="H8"/>
    </sheetView>
  </sheetViews>
  <sheetFormatPr defaultColWidth="0" defaultRowHeight="15" zeroHeight="1"/>
  <cols>
    <col min="1" max="1" width="3.7109375" customWidth="1"/>
    <col min="2" max="2" width="32.140625" customWidth="1"/>
    <col min="3" max="10" width="9.140625" customWidth="1"/>
    <col min="11" max="1025" width="9.140625" hidden="1" customWidth="1"/>
    <col min="1026" max="1026" width="9.140625" customWidth="1"/>
    <col min="1027" max="16384" width="9.140625" hidden="1"/>
  </cols>
  <sheetData>
    <row r="1" spans="2:9" ht="15" customHeight="1"/>
    <row r="2" spans="2:9" ht="15" customHeight="1"/>
    <row r="3" spans="2:9" ht="15" customHeight="1"/>
    <row r="4" spans="2:9" ht="24.75" customHeight="1"/>
    <row r="5" spans="2:9" ht="15" customHeight="1">
      <c r="B5" s="12" t="s">
        <v>0</v>
      </c>
      <c r="C5" s="12"/>
      <c r="D5" s="12"/>
      <c r="E5" s="12"/>
      <c r="F5" s="12"/>
      <c r="G5" s="12"/>
      <c r="H5" s="12"/>
      <c r="I5" s="12"/>
    </row>
    <row r="6" spans="2:9" ht="15" customHeight="1">
      <c r="B6" s="12" t="s">
        <v>115</v>
      </c>
      <c r="C6" s="12"/>
      <c r="D6" s="12"/>
      <c r="E6" s="12"/>
      <c r="F6" s="12"/>
      <c r="G6" s="12"/>
      <c r="H6" s="12"/>
      <c r="I6" s="12"/>
    </row>
    <row r="7" spans="2:9" ht="15" customHeight="1">
      <c r="B7" s="24"/>
      <c r="C7" s="24"/>
      <c r="D7" s="24"/>
      <c r="E7" s="25"/>
      <c r="F7" s="25"/>
      <c r="G7" s="25"/>
      <c r="H7" s="25"/>
      <c r="I7" s="23"/>
    </row>
    <row r="8" spans="2:9" ht="15" customHeight="1">
      <c r="B8" s="24"/>
      <c r="C8" s="24"/>
      <c r="D8" s="24"/>
      <c r="E8" s="25"/>
      <c r="F8" s="23"/>
      <c r="G8" s="23"/>
      <c r="H8" s="31" t="s">
        <v>3</v>
      </c>
      <c r="I8" s="31"/>
    </row>
    <row r="11" spans="2:9" ht="19.5" customHeight="1"/>
    <row r="12" spans="2:9" ht="15" customHeight="1">
      <c r="B12" s="156" t="s">
        <v>116</v>
      </c>
      <c r="C12" s="157"/>
      <c r="D12" s="157"/>
      <c r="E12" s="157"/>
      <c r="F12" s="157"/>
    </row>
    <row r="13" spans="2:9" ht="15" customHeight="1">
      <c r="B13" s="158" t="s">
        <v>117</v>
      </c>
      <c r="C13" s="159">
        <v>2016</v>
      </c>
      <c r="D13" s="160">
        <v>2017</v>
      </c>
      <c r="E13" s="159">
        <v>2018</v>
      </c>
      <c r="F13" s="159">
        <v>2019</v>
      </c>
    </row>
    <row r="14" spans="2:9" ht="15" customHeight="1">
      <c r="B14" s="161" t="s">
        <v>118</v>
      </c>
      <c r="C14" s="162">
        <v>380</v>
      </c>
      <c r="D14" s="51">
        <v>286</v>
      </c>
      <c r="E14" s="163">
        <v>272</v>
      </c>
      <c r="F14" s="51">
        <v>295</v>
      </c>
    </row>
    <row r="15" spans="2:9" ht="15" customHeight="1">
      <c r="B15" s="164" t="s">
        <v>119</v>
      </c>
      <c r="C15" s="91">
        <v>14</v>
      </c>
      <c r="D15" s="165">
        <v>10</v>
      </c>
      <c r="E15" s="166">
        <v>29</v>
      </c>
      <c r="F15" s="165">
        <v>4</v>
      </c>
    </row>
    <row r="16" spans="2:9" ht="15" customHeight="1">
      <c r="B16" s="164" t="s">
        <v>120</v>
      </c>
      <c r="C16" s="91">
        <v>1</v>
      </c>
      <c r="D16" s="165" t="s">
        <v>18</v>
      </c>
      <c r="E16" s="166">
        <v>2</v>
      </c>
      <c r="F16" s="165" t="s">
        <v>18</v>
      </c>
    </row>
    <row r="17" spans="2:6" ht="15" customHeight="1">
      <c r="B17" s="167" t="s">
        <v>121</v>
      </c>
      <c r="C17" s="168">
        <v>14</v>
      </c>
      <c r="D17" s="169">
        <v>9</v>
      </c>
      <c r="E17" s="170">
        <v>39</v>
      </c>
      <c r="F17" s="169">
        <v>9</v>
      </c>
    </row>
    <row r="18" spans="2:6" ht="15" customHeight="1"/>
    <row r="19" spans="2:6" ht="15" customHeight="1"/>
    <row r="20" spans="2:6" ht="15" customHeight="1"/>
    <row r="21" spans="2:6" ht="15" customHeight="1"/>
    <row r="22" spans="2:6" ht="15" customHeight="1"/>
    <row r="23" spans="2:6" ht="15" customHeight="1"/>
    <row r="24" spans="2:6" ht="15" customHeight="1"/>
    <row r="25" spans="2:6" ht="15" customHeight="1"/>
    <row r="26" spans="2:6" ht="15" customHeight="1"/>
    <row r="27" spans="2:6" ht="15" customHeight="1"/>
    <row r="28" spans="2:6" ht="15" customHeight="1"/>
    <row r="29" spans="2:6" ht="15" customHeight="1"/>
    <row r="30" spans="2:6" ht="15" customHeight="1"/>
    <row r="31" spans="2:6" ht="15" customHeight="1"/>
    <row r="32" spans="2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2">
    <mergeCell ref="B5:I5"/>
    <mergeCell ref="B6:I6"/>
  </mergeCells>
  <hyperlinks>
    <hyperlink ref="H8" location="capa!A1" display="Página Inicial" xr:uid="{00000000-0004-0000-04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49"/>
  <sheetViews>
    <sheetView showGridLines="0" showRowColHeaders="0" zoomScale="80" zoomScaleNormal="80" workbookViewId="0">
      <selection activeCell="AMM1" sqref="AMM1:XFD1048576"/>
    </sheetView>
  </sheetViews>
  <sheetFormatPr defaultColWidth="0" defaultRowHeight="15" zeroHeight="1"/>
  <cols>
    <col min="1" max="1" width="3.7109375" customWidth="1"/>
    <col min="2" max="2" width="24.5703125" customWidth="1"/>
    <col min="3" max="4" width="13.5703125" customWidth="1"/>
    <col min="5" max="5" width="18.85546875" customWidth="1"/>
    <col min="6" max="6" width="14.28515625" customWidth="1"/>
    <col min="7" max="7" width="9.140625" customWidth="1"/>
    <col min="8" max="8" width="13.85546875" customWidth="1"/>
    <col min="9" max="9" width="9.140625" customWidth="1"/>
    <col min="10" max="1025" width="9.140625" hidden="1" customWidth="1"/>
    <col min="1026" max="1026" width="9.140625" customWidth="1"/>
    <col min="1027" max="16384" width="9.140625" hidden="1"/>
  </cols>
  <sheetData>
    <row r="1" spans="2:8" ht="15" customHeight="1"/>
    <row r="2" spans="2:8" ht="15" customHeight="1"/>
    <row r="3" spans="2:8" ht="15" customHeight="1"/>
    <row r="4" spans="2:8" ht="15" customHeight="1"/>
    <row r="5" spans="2:8" ht="15" customHeight="1">
      <c r="B5" s="12" t="s">
        <v>0</v>
      </c>
      <c r="C5" s="12"/>
      <c r="D5" s="12"/>
      <c r="E5" s="12"/>
      <c r="F5" s="12"/>
      <c r="G5" s="12"/>
      <c r="H5" s="12"/>
    </row>
    <row r="6" spans="2:8" ht="15" customHeight="1">
      <c r="B6" s="12" t="s">
        <v>122</v>
      </c>
      <c r="C6" s="12"/>
      <c r="D6" s="12"/>
      <c r="E6" s="12"/>
      <c r="F6" s="12"/>
      <c r="G6" s="12"/>
      <c r="H6" s="12"/>
    </row>
    <row r="7" spans="2:8" ht="15" customHeight="1">
      <c r="B7" s="24"/>
      <c r="C7" s="24"/>
      <c r="D7" s="24"/>
      <c r="E7" s="25"/>
      <c r="F7" s="25"/>
      <c r="G7" s="25"/>
      <c r="H7" s="25"/>
    </row>
    <row r="8" spans="2:8" ht="15" customHeight="1">
      <c r="B8" s="24"/>
      <c r="C8" s="24"/>
      <c r="D8" s="24"/>
      <c r="E8" s="25"/>
      <c r="F8" s="385" t="s">
        <v>3</v>
      </c>
      <c r="G8" s="385"/>
      <c r="H8" s="385"/>
    </row>
    <row r="10" spans="2:8" ht="15" customHeight="1">
      <c r="B10" s="399"/>
      <c r="C10" s="399"/>
      <c r="D10" s="399"/>
      <c r="E10" s="399"/>
      <c r="F10" s="399"/>
    </row>
    <row r="11" spans="2:8" ht="15" customHeight="1">
      <c r="B11" s="386" t="s">
        <v>123</v>
      </c>
      <c r="C11" s="386"/>
      <c r="D11" s="386"/>
      <c r="E11" s="386"/>
      <c r="F11" s="386"/>
      <c r="G11" s="386"/>
      <c r="H11" s="386"/>
    </row>
    <row r="12" spans="2:8" ht="15" customHeight="1">
      <c r="B12" s="171"/>
      <c r="C12" s="171"/>
      <c r="D12" s="171"/>
      <c r="E12" s="171"/>
      <c r="F12" s="171"/>
      <c r="G12" s="171"/>
      <c r="H12" s="171"/>
    </row>
    <row r="13" spans="2:8" ht="15" customHeight="1">
      <c r="B13" s="391" t="s">
        <v>124</v>
      </c>
      <c r="C13" s="391"/>
      <c r="D13" s="391"/>
      <c r="E13" s="391"/>
      <c r="F13" s="391"/>
      <c r="G13" s="391"/>
      <c r="H13" s="171"/>
    </row>
    <row r="14" spans="2:8" ht="15" customHeight="1">
      <c r="B14" s="397" t="s">
        <v>6</v>
      </c>
      <c r="C14" s="387" t="s">
        <v>125</v>
      </c>
      <c r="D14" s="387"/>
      <c r="E14" s="387"/>
      <c r="F14" s="387"/>
      <c r="G14" s="128"/>
    </row>
    <row r="15" spans="2:8" ht="15" customHeight="1">
      <c r="B15" s="397"/>
      <c r="C15" s="172">
        <v>2016</v>
      </c>
      <c r="D15" s="172">
        <v>2017</v>
      </c>
      <c r="E15" s="172">
        <v>2018</v>
      </c>
      <c r="F15" s="172">
        <v>2019</v>
      </c>
      <c r="G15" s="35"/>
    </row>
    <row r="16" spans="2:8" ht="15" customHeight="1">
      <c r="B16" s="76" t="s">
        <v>13</v>
      </c>
      <c r="C16" s="173" t="s">
        <v>18</v>
      </c>
      <c r="D16" s="174" t="s">
        <v>18</v>
      </c>
      <c r="E16" s="173" t="s">
        <v>18</v>
      </c>
      <c r="F16" s="175"/>
    </row>
    <row r="17" spans="2:6" ht="15" customHeight="1">
      <c r="B17" s="76" t="s">
        <v>14</v>
      </c>
      <c r="C17" s="176">
        <v>284852</v>
      </c>
      <c r="D17" s="177">
        <v>33400</v>
      </c>
      <c r="E17" s="178">
        <v>1620068.22</v>
      </c>
      <c r="F17" s="179"/>
    </row>
    <row r="18" spans="2:6" ht="15" customHeight="1">
      <c r="B18" s="76" t="s">
        <v>15</v>
      </c>
      <c r="C18" s="176">
        <v>58118</v>
      </c>
      <c r="D18" s="177">
        <v>67927.100000000006</v>
      </c>
      <c r="E18" s="180">
        <v>9809.1</v>
      </c>
      <c r="F18" s="179"/>
    </row>
    <row r="19" spans="2:6" ht="15" customHeight="1">
      <c r="B19" s="76" t="s">
        <v>16</v>
      </c>
      <c r="C19" s="176">
        <v>39600</v>
      </c>
      <c r="D19" s="177" t="s">
        <v>18</v>
      </c>
      <c r="E19" s="178">
        <v>282250</v>
      </c>
      <c r="F19" s="179"/>
    </row>
    <row r="20" spans="2:6" ht="15" customHeight="1">
      <c r="B20" s="76" t="s">
        <v>17</v>
      </c>
      <c r="C20" s="180" t="s">
        <v>18</v>
      </c>
      <c r="D20" s="177" t="s">
        <v>18</v>
      </c>
      <c r="E20" s="178" t="s">
        <v>18</v>
      </c>
      <c r="F20" s="179"/>
    </row>
    <row r="21" spans="2:6" ht="15" customHeight="1">
      <c r="B21" s="76" t="s">
        <v>19</v>
      </c>
      <c r="C21" s="176">
        <v>342500</v>
      </c>
      <c r="D21" s="177">
        <v>472500.4</v>
      </c>
      <c r="E21" s="178">
        <v>863160.4</v>
      </c>
      <c r="F21" s="181">
        <v>39600</v>
      </c>
    </row>
    <row r="22" spans="2:6" ht="15" customHeight="1">
      <c r="B22" s="76" t="s">
        <v>20</v>
      </c>
      <c r="C22" s="180" t="s">
        <v>18</v>
      </c>
      <c r="D22" s="177" t="s">
        <v>18</v>
      </c>
      <c r="E22" s="178" t="s">
        <v>18</v>
      </c>
      <c r="F22" s="179"/>
    </row>
    <row r="23" spans="2:6" ht="15" customHeight="1">
      <c r="B23" s="76" t="s">
        <v>21</v>
      </c>
      <c r="C23" s="180" t="s">
        <v>18</v>
      </c>
      <c r="D23" s="177" t="s">
        <v>18</v>
      </c>
      <c r="E23" s="178" t="s">
        <v>18</v>
      </c>
      <c r="F23" s="179"/>
    </row>
    <row r="24" spans="2:6" ht="15" customHeight="1">
      <c r="B24" s="76" t="s">
        <v>22</v>
      </c>
      <c r="C24" s="180" t="s">
        <v>18</v>
      </c>
      <c r="D24" s="177" t="s">
        <v>18</v>
      </c>
      <c r="E24" s="178">
        <v>90000</v>
      </c>
      <c r="F24" s="181">
        <v>43808.1</v>
      </c>
    </row>
    <row r="25" spans="2:6" ht="15" customHeight="1">
      <c r="B25" s="76" t="s">
        <v>23</v>
      </c>
      <c r="C25" s="180" t="s">
        <v>18</v>
      </c>
      <c r="D25" s="177" t="s">
        <v>18</v>
      </c>
      <c r="E25" s="178" t="s">
        <v>18</v>
      </c>
      <c r="F25" s="179"/>
    </row>
    <row r="26" spans="2:6" ht="15" customHeight="1">
      <c r="B26" s="76" t="s">
        <v>24</v>
      </c>
      <c r="C26" s="180" t="s">
        <v>18</v>
      </c>
      <c r="D26" s="177" t="s">
        <v>18</v>
      </c>
      <c r="E26" s="178" t="s">
        <v>18</v>
      </c>
      <c r="F26" s="179"/>
    </row>
    <row r="27" spans="2:6" ht="15" customHeight="1">
      <c r="B27" s="76" t="s">
        <v>25</v>
      </c>
      <c r="C27" s="176">
        <v>21000</v>
      </c>
      <c r="D27" s="177" t="s">
        <v>18</v>
      </c>
      <c r="E27" s="178">
        <v>66300</v>
      </c>
      <c r="F27" s="179"/>
    </row>
    <row r="28" spans="2:6" ht="15" customHeight="1">
      <c r="B28" s="76" t="s">
        <v>26</v>
      </c>
      <c r="C28" s="180" t="s">
        <v>18</v>
      </c>
      <c r="D28" s="177" t="s">
        <v>18</v>
      </c>
      <c r="E28" s="178" t="s">
        <v>18</v>
      </c>
      <c r="F28" s="179"/>
    </row>
    <row r="29" spans="2:6" ht="15" customHeight="1">
      <c r="B29" s="76" t="s">
        <v>27</v>
      </c>
      <c r="C29" s="180" t="s">
        <v>18</v>
      </c>
      <c r="D29" s="177" t="s">
        <v>18</v>
      </c>
      <c r="E29" s="178">
        <v>22900</v>
      </c>
      <c r="F29" s="182"/>
    </row>
    <row r="30" spans="2:6" ht="15" customHeight="1">
      <c r="B30" s="76" t="s">
        <v>28</v>
      </c>
      <c r="C30" s="183" t="s">
        <v>18</v>
      </c>
      <c r="D30" s="177" t="s">
        <v>18</v>
      </c>
      <c r="E30" s="184">
        <v>35000</v>
      </c>
      <c r="F30" s="182"/>
    </row>
    <row r="31" spans="2:6" ht="15" customHeight="1">
      <c r="B31" s="151" t="s">
        <v>29</v>
      </c>
      <c r="C31" s="185">
        <f>SUM(C16:C30)</f>
        <v>746070</v>
      </c>
      <c r="D31" s="185">
        <f>SUM(D16:D30)</f>
        <v>573827.5</v>
      </c>
      <c r="E31" s="186">
        <f>SUM(E16:E30)</f>
        <v>2989487.72</v>
      </c>
      <c r="F31" s="187"/>
    </row>
    <row r="32" spans="2:6" ht="15" customHeight="1">
      <c r="B32" s="188"/>
      <c r="C32" s="189"/>
      <c r="D32" s="189"/>
      <c r="E32" s="190"/>
      <c r="F32" s="191"/>
    </row>
    <row r="33" spans="2:7" ht="15" customHeight="1">
      <c r="B33" s="188"/>
      <c r="C33" s="189"/>
      <c r="D33" s="189"/>
      <c r="E33" s="190"/>
      <c r="F33" s="191"/>
    </row>
    <row r="34" spans="2:7" ht="15" customHeight="1">
      <c r="B34" s="192"/>
      <c r="C34" s="193"/>
      <c r="D34" s="193"/>
      <c r="E34" s="194"/>
      <c r="F34" s="195"/>
    </row>
    <row r="35" spans="2:7" ht="15" customHeight="1">
      <c r="B35" s="192"/>
      <c r="C35" s="193"/>
      <c r="D35" s="193"/>
      <c r="E35" s="194"/>
      <c r="F35" s="195"/>
    </row>
    <row r="36" spans="2:7" ht="15" customHeight="1">
      <c r="B36" s="391" t="s">
        <v>126</v>
      </c>
      <c r="C36" s="391"/>
      <c r="D36" s="391"/>
      <c r="E36" s="391"/>
      <c r="F36" s="391"/>
      <c r="G36" s="391"/>
    </row>
    <row r="37" spans="2:7" ht="15" customHeight="1">
      <c r="B37" s="397" t="s">
        <v>31</v>
      </c>
      <c r="C37" s="387" t="s">
        <v>101</v>
      </c>
      <c r="D37" s="387"/>
      <c r="E37" s="387"/>
      <c r="F37" s="387"/>
    </row>
    <row r="38" spans="2:7" ht="15" customHeight="1">
      <c r="B38" s="397"/>
      <c r="C38" s="196">
        <v>2016</v>
      </c>
      <c r="D38" s="196">
        <v>2017</v>
      </c>
      <c r="E38" s="196">
        <v>2018</v>
      </c>
      <c r="F38" s="196">
        <v>2019</v>
      </c>
    </row>
    <row r="39" spans="2:7" ht="15" customHeight="1">
      <c r="B39" s="152" t="s">
        <v>32</v>
      </c>
      <c r="C39" s="197">
        <v>21000</v>
      </c>
      <c r="D39" s="198">
        <v>130000</v>
      </c>
      <c r="E39" s="199">
        <v>324900</v>
      </c>
      <c r="F39" s="200">
        <v>83408.100000000006</v>
      </c>
    </row>
    <row r="40" spans="2:7" ht="15" customHeight="1">
      <c r="B40" s="76" t="s">
        <v>33</v>
      </c>
      <c r="C40" s="176">
        <v>24000</v>
      </c>
      <c r="D40" s="177">
        <v>24000</v>
      </c>
      <c r="E40" s="178">
        <v>256060</v>
      </c>
      <c r="F40" s="201"/>
    </row>
    <row r="41" spans="2:7" ht="15" customHeight="1">
      <c r="B41" s="76" t="s">
        <v>34</v>
      </c>
      <c r="C41" s="176" t="s">
        <v>18</v>
      </c>
      <c r="D41" s="177" t="s">
        <v>18</v>
      </c>
      <c r="E41" s="178" t="s">
        <v>18</v>
      </c>
      <c r="F41" s="201"/>
    </row>
    <row r="42" spans="2:7" ht="15" customHeight="1">
      <c r="B42" s="76" t="s">
        <v>35</v>
      </c>
      <c r="C42" s="176" t="s">
        <v>18</v>
      </c>
      <c r="D42" s="177">
        <v>9809.1</v>
      </c>
      <c r="E42" s="178">
        <v>39809.1</v>
      </c>
      <c r="F42" s="201"/>
    </row>
    <row r="43" spans="2:7" ht="15" customHeight="1">
      <c r="B43" s="76" t="s">
        <v>36</v>
      </c>
      <c r="C43" s="176">
        <v>324452</v>
      </c>
      <c r="D43" s="177">
        <v>33400</v>
      </c>
      <c r="E43" s="178">
        <v>1902318.22</v>
      </c>
      <c r="F43" s="201"/>
    </row>
    <row r="44" spans="2:7" ht="15" customHeight="1">
      <c r="B44" s="76" t="s">
        <v>37</v>
      </c>
      <c r="C44" s="176" t="s">
        <v>18</v>
      </c>
      <c r="D44" s="177" t="s">
        <v>18</v>
      </c>
      <c r="E44" s="178">
        <v>35000</v>
      </c>
      <c r="F44" s="201"/>
    </row>
    <row r="45" spans="2:7" ht="15" customHeight="1">
      <c r="B45" s="76" t="s">
        <v>38</v>
      </c>
      <c r="C45" s="176">
        <v>348118</v>
      </c>
      <c r="D45" s="177">
        <v>348118.4</v>
      </c>
      <c r="E45" s="178">
        <v>431400</v>
      </c>
      <c r="F45" s="201"/>
    </row>
    <row r="46" spans="2:7" ht="15" customHeight="1">
      <c r="B46" s="78" t="s">
        <v>39</v>
      </c>
      <c r="C46" s="202">
        <v>28500</v>
      </c>
      <c r="D46" s="203">
        <v>28500</v>
      </c>
      <c r="E46" s="184" t="s">
        <v>18</v>
      </c>
      <c r="F46" s="204"/>
    </row>
    <row r="47" spans="2:7" ht="15" customHeight="1">
      <c r="B47" s="155" t="s">
        <v>29</v>
      </c>
      <c r="C47" s="205">
        <f>SUM(C39:C46)</f>
        <v>746070</v>
      </c>
      <c r="D47" s="205">
        <f>SUM(D39:D46)</f>
        <v>573827.5</v>
      </c>
      <c r="E47" s="205">
        <f>SUM(E39:E46)</f>
        <v>2989487.32</v>
      </c>
      <c r="F47" s="205">
        <f>SUM(F39:F46)</f>
        <v>83408.100000000006</v>
      </c>
    </row>
    <row r="48" spans="2:7" ht="15" customHeight="1"/>
    <row r="49" ht="15" customHeight="1"/>
  </sheetData>
  <mergeCells count="11">
    <mergeCell ref="B13:G13"/>
    <mergeCell ref="B14:B15"/>
    <mergeCell ref="C14:F14"/>
    <mergeCell ref="B36:G36"/>
    <mergeCell ref="B37:B38"/>
    <mergeCell ref="C37:F37"/>
    <mergeCell ref="B5:H5"/>
    <mergeCell ref="B6:H6"/>
    <mergeCell ref="F8:H8"/>
    <mergeCell ref="B10:F10"/>
    <mergeCell ref="B11:H11"/>
  </mergeCells>
  <hyperlinks>
    <hyperlink ref="F8" location="capa!A1" display="Página Inicial" xr:uid="{00000000-0004-0000-0500-000000000000}"/>
  </hyperlinks>
  <pageMargins left="0.25" right="0.25" top="0.75" bottom="0.75" header="0.51180555555555496" footer="0.51180555555555496"/>
  <pageSetup paperSize="9" firstPageNumber="0" orientation="landscape" horizontalDpi="300" verticalDpi="300"/>
  <ignoredErrors>
    <ignoredError sqref="F47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MK26"/>
  <sheetViews>
    <sheetView showGridLines="0" showRowColHeaders="0" zoomScale="80" zoomScaleNormal="80" workbookViewId="0">
      <selection activeCell="AML1" sqref="AML1:XFD1048576"/>
    </sheetView>
  </sheetViews>
  <sheetFormatPr defaultColWidth="0" defaultRowHeight="15" zeroHeight="1"/>
  <cols>
    <col min="1" max="1" width="3.7109375" customWidth="1"/>
    <col min="2" max="2" width="26" customWidth="1"/>
    <col min="3" max="3" width="13" customWidth="1"/>
    <col min="4" max="4" width="15.28515625" customWidth="1"/>
    <col min="5" max="5" width="13.28515625" customWidth="1"/>
    <col min="6" max="6" width="16.5703125" customWidth="1"/>
    <col min="7" max="7" width="11.42578125" customWidth="1"/>
    <col min="8" max="8" width="8.85546875" customWidth="1"/>
    <col min="9" max="9" width="11.42578125" customWidth="1"/>
    <col min="10" max="257" width="11.42578125" hidden="1" customWidth="1"/>
    <col min="258" max="258" width="26" hidden="1" customWidth="1"/>
    <col min="259" max="259" width="13" hidden="1" customWidth="1"/>
    <col min="260" max="260" width="15.28515625" hidden="1" customWidth="1"/>
    <col min="261" max="261" width="13.28515625" hidden="1" customWidth="1"/>
    <col min="262" max="262" width="16.5703125" hidden="1" customWidth="1"/>
    <col min="263" max="513" width="11.42578125" hidden="1" customWidth="1"/>
    <col min="514" max="514" width="26" hidden="1" customWidth="1"/>
    <col min="515" max="515" width="13" hidden="1" customWidth="1"/>
    <col min="516" max="516" width="15.28515625" hidden="1" customWidth="1"/>
    <col min="517" max="517" width="13.28515625" hidden="1" customWidth="1"/>
    <col min="518" max="518" width="16.5703125" hidden="1" customWidth="1"/>
    <col min="519" max="769" width="11.42578125" hidden="1" customWidth="1"/>
    <col min="770" max="770" width="26" hidden="1" customWidth="1"/>
    <col min="771" max="771" width="13" hidden="1" customWidth="1"/>
    <col min="772" max="772" width="15.28515625" hidden="1" customWidth="1"/>
    <col min="773" max="773" width="13.28515625" hidden="1" customWidth="1"/>
    <col min="774" max="774" width="16.5703125" hidden="1" customWidth="1"/>
    <col min="775" max="1025" width="11.42578125" hidden="1" customWidth="1"/>
    <col min="1026" max="16384" width="9.140625" hidden="1"/>
  </cols>
  <sheetData>
    <row r="1" spans="2:8" ht="15" customHeight="1"/>
    <row r="2" spans="2:8" ht="15" customHeight="1"/>
    <row r="3" spans="2:8" ht="15" customHeight="1"/>
    <row r="4" spans="2:8" ht="15" customHeight="1"/>
    <row r="5" spans="2:8" ht="15" customHeight="1">
      <c r="B5" s="12" t="s">
        <v>0</v>
      </c>
      <c r="C5" s="12"/>
      <c r="D5" s="12"/>
      <c r="E5" s="12"/>
      <c r="F5" s="12"/>
      <c r="G5" s="12"/>
      <c r="H5" s="12"/>
    </row>
    <row r="6" spans="2:8" ht="15" customHeight="1">
      <c r="B6" s="12" t="s">
        <v>127</v>
      </c>
      <c r="C6" s="12"/>
      <c r="D6" s="12"/>
      <c r="E6" s="12"/>
      <c r="F6" s="12"/>
      <c r="G6" s="12"/>
      <c r="H6" s="12"/>
    </row>
    <row r="7" spans="2:8" ht="15" customHeight="1">
      <c r="B7" s="24"/>
      <c r="C7" s="24"/>
      <c r="D7" s="24"/>
      <c r="E7" s="25"/>
      <c r="F7" s="25"/>
      <c r="G7" s="25"/>
      <c r="H7" s="25"/>
    </row>
    <row r="8" spans="2:8" ht="15" customHeight="1">
      <c r="B8" s="24"/>
      <c r="C8" s="24"/>
      <c r="D8" s="24"/>
      <c r="E8" s="25"/>
      <c r="F8" s="385" t="s">
        <v>3</v>
      </c>
      <c r="G8" s="385"/>
      <c r="H8" s="385"/>
    </row>
    <row r="9" spans="2:8" ht="15" customHeight="1">
      <c r="B9" s="399"/>
      <c r="C9" s="399"/>
      <c r="D9" s="399"/>
      <c r="E9" s="399"/>
    </row>
    <row r="10" spans="2:8" ht="26.45" customHeight="1">
      <c r="B10" s="386" t="s">
        <v>128</v>
      </c>
      <c r="C10" s="386"/>
      <c r="D10" s="386"/>
      <c r="E10" s="386"/>
      <c r="F10" s="386"/>
      <c r="G10" s="386"/>
      <c r="H10" s="386"/>
    </row>
    <row r="11" spans="2:8" ht="15" customHeight="1">
      <c r="B11" s="400"/>
      <c r="C11" s="400"/>
      <c r="D11" s="400"/>
      <c r="E11" s="400"/>
      <c r="F11" s="206"/>
      <c r="G11" s="206"/>
      <c r="H11" s="206"/>
    </row>
    <row r="12" spans="2:8" ht="15" customHeight="1">
      <c r="B12" s="391" t="s">
        <v>129</v>
      </c>
      <c r="C12" s="391"/>
      <c r="D12" s="391"/>
      <c r="E12" s="391"/>
      <c r="F12" s="391"/>
      <c r="G12" s="391"/>
      <c r="H12" s="206"/>
    </row>
    <row r="13" spans="2:8" ht="15" customHeight="1">
      <c r="B13" s="397" t="s">
        <v>31</v>
      </c>
      <c r="C13" s="397">
        <v>2018</v>
      </c>
      <c r="D13" s="397"/>
      <c r="E13" s="397">
        <v>2019</v>
      </c>
      <c r="F13" s="397"/>
      <c r="G13" s="401"/>
      <c r="H13" s="401"/>
    </row>
    <row r="14" spans="2:8" ht="24.75" customHeight="1">
      <c r="B14" s="397"/>
      <c r="C14" s="146" t="s">
        <v>130</v>
      </c>
      <c r="D14" s="208" t="s">
        <v>131</v>
      </c>
      <c r="E14" s="146" t="s">
        <v>130</v>
      </c>
      <c r="F14" s="145" t="s">
        <v>131</v>
      </c>
      <c r="G14" s="209"/>
      <c r="H14" s="210"/>
    </row>
    <row r="15" spans="2:8" ht="15" customHeight="1">
      <c r="B15" s="148" t="s">
        <v>32</v>
      </c>
      <c r="C15" s="113">
        <v>14</v>
      </c>
      <c r="D15" s="178" t="s">
        <v>18</v>
      </c>
      <c r="E15" s="73">
        <v>14</v>
      </c>
      <c r="F15" s="109">
        <v>1</v>
      </c>
      <c r="G15" s="211"/>
      <c r="H15" s="211"/>
    </row>
    <row r="16" spans="2:8" ht="15" customHeight="1">
      <c r="B16" s="149" t="s">
        <v>33</v>
      </c>
      <c r="C16" s="212">
        <v>7</v>
      </c>
      <c r="D16" s="178" t="s">
        <v>18</v>
      </c>
      <c r="E16" s="52">
        <v>5</v>
      </c>
      <c r="F16" s="113">
        <v>1</v>
      </c>
      <c r="G16" s="211"/>
      <c r="H16" s="211"/>
    </row>
    <row r="17" spans="2:8" ht="15" customHeight="1">
      <c r="B17" s="149" t="s">
        <v>34</v>
      </c>
      <c r="C17" s="212">
        <v>1</v>
      </c>
      <c r="D17" s="178" t="s">
        <v>18</v>
      </c>
      <c r="E17" s="52">
        <v>1</v>
      </c>
      <c r="F17" s="178" t="s">
        <v>18</v>
      </c>
      <c r="G17" s="211"/>
      <c r="H17" s="211"/>
    </row>
    <row r="18" spans="2:8" ht="15" customHeight="1">
      <c r="B18" s="149" t="s">
        <v>35</v>
      </c>
      <c r="C18" s="212">
        <v>7</v>
      </c>
      <c r="D18" s="178" t="s">
        <v>18</v>
      </c>
      <c r="E18" s="52">
        <v>5</v>
      </c>
      <c r="F18" s="113">
        <v>3</v>
      </c>
      <c r="G18" s="211"/>
      <c r="H18" s="211"/>
    </row>
    <row r="19" spans="2:8" ht="15" customHeight="1">
      <c r="B19" s="149" t="s">
        <v>36</v>
      </c>
      <c r="C19" s="212">
        <v>16</v>
      </c>
      <c r="D19" s="129">
        <v>1</v>
      </c>
      <c r="E19" s="52">
        <v>18</v>
      </c>
      <c r="F19" s="113">
        <v>1</v>
      </c>
      <c r="G19" s="211"/>
      <c r="H19" s="211"/>
    </row>
    <row r="20" spans="2:8" ht="15" customHeight="1">
      <c r="B20" s="149" t="s">
        <v>37</v>
      </c>
      <c r="C20" s="212">
        <v>9</v>
      </c>
      <c r="D20" s="129">
        <v>2</v>
      </c>
      <c r="E20" s="52">
        <v>7</v>
      </c>
      <c r="F20" s="178" t="s">
        <v>18</v>
      </c>
      <c r="G20" s="211"/>
      <c r="H20" s="211"/>
    </row>
    <row r="21" spans="2:8" ht="15" customHeight="1">
      <c r="B21" s="149" t="s">
        <v>38</v>
      </c>
      <c r="C21" s="212">
        <v>25</v>
      </c>
      <c r="D21" s="178" t="s">
        <v>18</v>
      </c>
      <c r="E21" s="52">
        <v>23</v>
      </c>
      <c r="F21" s="178" t="s">
        <v>18</v>
      </c>
      <c r="G21" s="211"/>
      <c r="H21" s="211"/>
    </row>
    <row r="22" spans="2:8" ht="15" customHeight="1">
      <c r="B22" s="150" t="s">
        <v>39</v>
      </c>
      <c r="C22" s="213">
        <v>15</v>
      </c>
      <c r="D22" s="129">
        <v>4</v>
      </c>
      <c r="E22" s="80">
        <v>18</v>
      </c>
      <c r="F22" s="122">
        <v>4</v>
      </c>
      <c r="G22" s="211"/>
      <c r="H22" s="211"/>
    </row>
    <row r="23" spans="2:8" ht="15" customHeight="1">
      <c r="B23" s="136" t="s">
        <v>29</v>
      </c>
      <c r="C23" s="214">
        <f>SUM(C15:C22)</f>
        <v>94</v>
      </c>
      <c r="D23" s="214">
        <f>SUM(D15:D22)</f>
        <v>7</v>
      </c>
      <c r="E23" s="214">
        <f>SUM(E15:E22)</f>
        <v>91</v>
      </c>
      <c r="F23" s="214">
        <f>SUM(F15:F22)</f>
        <v>10</v>
      </c>
      <c r="G23" s="207"/>
      <c r="H23" s="207"/>
    </row>
    <row r="25" spans="2:8" ht="15" customHeight="1">
      <c r="B25" s="215" t="s">
        <v>132</v>
      </c>
    </row>
    <row r="26" spans="2:8" ht="15" customHeight="1"/>
  </sheetData>
  <mergeCells count="11">
    <mergeCell ref="B11:E11"/>
    <mergeCell ref="B12:G12"/>
    <mergeCell ref="B13:B14"/>
    <mergeCell ref="C13:D13"/>
    <mergeCell ref="E13:F13"/>
    <mergeCell ref="G13:H13"/>
    <mergeCell ref="B5:H5"/>
    <mergeCell ref="B6:H6"/>
    <mergeCell ref="F8:H8"/>
    <mergeCell ref="B9:E9"/>
    <mergeCell ref="B10:H10"/>
  </mergeCells>
  <hyperlinks>
    <hyperlink ref="F8" location="capa!A1" display="Página Inicial" xr:uid="{00000000-0004-0000-06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MK29"/>
  <sheetViews>
    <sheetView showGridLines="0" showRowColHeaders="0" topLeftCell="A4" zoomScale="80" zoomScaleNormal="80" workbookViewId="0">
      <selection activeCell="AML1" sqref="AML1:XFD1048576"/>
    </sheetView>
  </sheetViews>
  <sheetFormatPr defaultColWidth="0" defaultRowHeight="15" zeroHeight="1"/>
  <cols>
    <col min="1" max="1" width="3.7109375" customWidth="1"/>
    <col min="2" max="2" width="31" customWidth="1"/>
    <col min="3" max="5" width="11.7109375" customWidth="1"/>
    <col min="6" max="9" width="11.42578125" customWidth="1"/>
    <col min="10" max="257" width="11.42578125" hidden="1" customWidth="1"/>
    <col min="258" max="258" width="24.7109375" hidden="1" customWidth="1"/>
    <col min="259" max="259" width="11.85546875" hidden="1" customWidth="1"/>
    <col min="260" max="260" width="12.140625" hidden="1" customWidth="1"/>
    <col min="261" max="261" width="16" hidden="1" customWidth="1"/>
    <col min="262" max="513" width="11.42578125" hidden="1" customWidth="1"/>
    <col min="514" max="514" width="24.7109375" hidden="1" customWidth="1"/>
    <col min="515" max="515" width="11.85546875" hidden="1" customWidth="1"/>
    <col min="516" max="516" width="12.140625" hidden="1" customWidth="1"/>
    <col min="517" max="517" width="16" hidden="1" customWidth="1"/>
    <col min="518" max="769" width="11.42578125" hidden="1" customWidth="1"/>
    <col min="770" max="770" width="24.7109375" hidden="1" customWidth="1"/>
    <col min="771" max="771" width="11.85546875" hidden="1" customWidth="1"/>
    <col min="772" max="772" width="12.140625" hidden="1" customWidth="1"/>
    <col min="773" max="773" width="16" hidden="1" customWidth="1"/>
    <col min="774" max="1024" width="11.42578125" hidden="1" customWidth="1"/>
    <col min="1025" max="1025" width="3.28515625" customWidth="1"/>
    <col min="1026" max="16384" width="9.140625" hidden="1"/>
  </cols>
  <sheetData>
    <row r="1" spans="2:8" ht="15" customHeight="1"/>
    <row r="2" spans="2:8" ht="15" customHeight="1"/>
    <row r="3" spans="2:8" ht="15" customHeight="1"/>
    <row r="4" spans="2:8" ht="15" customHeight="1"/>
    <row r="5" spans="2:8" ht="15" customHeight="1">
      <c r="B5" s="12" t="s">
        <v>0</v>
      </c>
      <c r="C5" s="12"/>
      <c r="D5" s="12"/>
      <c r="E5" s="12"/>
      <c r="F5" s="12"/>
      <c r="G5" s="12"/>
      <c r="H5" s="12"/>
    </row>
    <row r="6" spans="2:8" ht="15" customHeight="1">
      <c r="B6" s="12" t="s">
        <v>133</v>
      </c>
      <c r="C6" s="12"/>
      <c r="D6" s="12"/>
      <c r="E6" s="12"/>
      <c r="F6" s="12"/>
      <c r="G6" s="12"/>
      <c r="H6" s="12"/>
    </row>
    <row r="7" spans="2:8" ht="15" customHeight="1">
      <c r="B7" s="24"/>
      <c r="C7" s="24"/>
      <c r="D7" s="24"/>
      <c r="E7" s="25"/>
      <c r="F7" s="25"/>
      <c r="G7" s="25"/>
      <c r="H7" s="25"/>
    </row>
    <row r="8" spans="2:8" ht="15" customHeight="1">
      <c r="B8" s="24"/>
      <c r="C8" s="24"/>
      <c r="D8" s="24"/>
      <c r="E8" s="25"/>
      <c r="F8" s="385" t="s">
        <v>3</v>
      </c>
      <c r="G8" s="385"/>
      <c r="H8" s="385"/>
    </row>
    <row r="9" spans="2:8" ht="15" customHeight="1">
      <c r="B9" s="399"/>
      <c r="C9" s="399"/>
      <c r="D9" s="399"/>
      <c r="E9" s="399"/>
    </row>
    <row r="10" spans="2:8" ht="15" customHeight="1">
      <c r="B10" s="386" t="s">
        <v>134</v>
      </c>
      <c r="C10" s="386"/>
      <c r="D10" s="386"/>
      <c r="E10" s="386"/>
      <c r="F10" s="386"/>
      <c r="G10" s="386"/>
      <c r="H10" s="386"/>
    </row>
    <row r="11" spans="2:8" ht="15" customHeight="1">
      <c r="B11" s="216"/>
      <c r="C11" s="216"/>
      <c r="D11" s="216"/>
      <c r="E11" s="216"/>
      <c r="F11" s="216"/>
      <c r="G11" s="216"/>
      <c r="H11" s="216"/>
    </row>
    <row r="12" spans="2:8" ht="15" customHeight="1">
      <c r="B12" s="400"/>
      <c r="C12" s="400"/>
      <c r="D12" s="400"/>
      <c r="E12" s="400"/>
      <c r="F12" s="206"/>
      <c r="G12" s="206"/>
      <c r="H12" s="206"/>
    </row>
    <row r="13" spans="2:8" ht="15" customHeight="1">
      <c r="B13" s="391" t="s">
        <v>135</v>
      </c>
      <c r="C13" s="391"/>
      <c r="D13" s="391"/>
      <c r="E13" s="391"/>
      <c r="F13" s="391"/>
      <c r="G13" s="391"/>
      <c r="H13" s="206"/>
    </row>
    <row r="14" spans="2:8" ht="15" customHeight="1">
      <c r="B14" s="397" t="s">
        <v>31</v>
      </c>
      <c r="C14" s="402" t="s">
        <v>136</v>
      </c>
      <c r="D14" s="402"/>
      <c r="E14" s="402"/>
      <c r="F14" s="130"/>
      <c r="G14" s="130"/>
    </row>
    <row r="15" spans="2:8" ht="15" customHeight="1">
      <c r="B15" s="397"/>
      <c r="C15" s="147">
        <v>2017</v>
      </c>
      <c r="D15" s="145">
        <v>2018</v>
      </c>
      <c r="E15" s="146">
        <v>2019</v>
      </c>
    </row>
    <row r="16" spans="2:8" ht="15" customHeight="1">
      <c r="B16" s="152" t="s">
        <v>32</v>
      </c>
      <c r="C16" s="109">
        <v>3</v>
      </c>
      <c r="D16" s="217">
        <v>3</v>
      </c>
      <c r="E16" s="109">
        <v>3</v>
      </c>
    </row>
    <row r="17" spans="2:5" ht="15" customHeight="1">
      <c r="B17" s="76" t="s">
        <v>33</v>
      </c>
      <c r="C17" s="212">
        <v>2</v>
      </c>
      <c r="D17" s="218">
        <v>2</v>
      </c>
      <c r="E17" s="212">
        <v>1</v>
      </c>
    </row>
    <row r="18" spans="2:5" ht="15" customHeight="1">
      <c r="B18" s="76" t="s">
        <v>34</v>
      </c>
      <c r="C18" s="178" t="s">
        <v>18</v>
      </c>
      <c r="D18" s="178" t="s">
        <v>18</v>
      </c>
      <c r="E18" s="178" t="s">
        <v>18</v>
      </c>
    </row>
    <row r="19" spans="2:5" ht="15" customHeight="1">
      <c r="B19" s="76" t="s">
        <v>35</v>
      </c>
      <c r="C19" s="178" t="s">
        <v>18</v>
      </c>
      <c r="D19" s="178" t="s">
        <v>18</v>
      </c>
      <c r="E19" s="178" t="s">
        <v>18</v>
      </c>
    </row>
    <row r="20" spans="2:5" ht="15" customHeight="1">
      <c r="B20" s="76" t="s">
        <v>36</v>
      </c>
      <c r="C20" s="212">
        <v>2</v>
      </c>
      <c r="D20" s="218">
        <v>2</v>
      </c>
      <c r="E20" s="212">
        <v>2</v>
      </c>
    </row>
    <row r="21" spans="2:5" ht="15" customHeight="1">
      <c r="B21" s="76" t="s">
        <v>37</v>
      </c>
      <c r="C21" s="178" t="s">
        <v>18</v>
      </c>
      <c r="D21" s="178" t="s">
        <v>18</v>
      </c>
      <c r="E21" s="178" t="s">
        <v>18</v>
      </c>
    </row>
    <row r="22" spans="2:5" ht="15" customHeight="1">
      <c r="B22" s="76" t="s">
        <v>38</v>
      </c>
      <c r="C22" s="178" t="s">
        <v>18</v>
      </c>
      <c r="D22" s="178" t="s">
        <v>18</v>
      </c>
      <c r="E22" s="178" t="s">
        <v>18</v>
      </c>
    </row>
    <row r="23" spans="2:5" ht="15" customHeight="1">
      <c r="B23" s="76" t="s">
        <v>39</v>
      </c>
      <c r="C23" s="178" t="s">
        <v>18</v>
      </c>
      <c r="D23" s="178" t="s">
        <v>18</v>
      </c>
      <c r="E23" s="178" t="s">
        <v>18</v>
      </c>
    </row>
    <row r="24" spans="2:5" ht="15" customHeight="1">
      <c r="B24" s="136" t="s">
        <v>137</v>
      </c>
      <c r="C24" s="137">
        <f>SUM(C16:C23)</f>
        <v>7</v>
      </c>
      <c r="D24" s="137">
        <f>SUM(D16:D23)</f>
        <v>7</v>
      </c>
      <c r="E24" s="137">
        <f>SUM(E16:E23)</f>
        <v>6</v>
      </c>
    </row>
    <row r="27" spans="2:5" ht="15" customHeight="1">
      <c r="B27" s="206"/>
    </row>
    <row r="28" spans="2:5" ht="15" customHeight="1"/>
    <row r="29" spans="2:5" ht="15" customHeight="1"/>
  </sheetData>
  <mergeCells count="9">
    <mergeCell ref="B12:E12"/>
    <mergeCell ref="B13:G13"/>
    <mergeCell ref="B14:B15"/>
    <mergeCell ref="C14:E14"/>
    <mergeCell ref="B5:H5"/>
    <mergeCell ref="B6:H6"/>
    <mergeCell ref="F8:H8"/>
    <mergeCell ref="B9:E9"/>
    <mergeCell ref="B10:H10"/>
  </mergeCells>
  <hyperlinks>
    <hyperlink ref="F8" location="capa!A1" display="Página Inicial" xr:uid="{00000000-0004-0000-07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MK40"/>
  <sheetViews>
    <sheetView showGridLines="0" showRowColHeaders="0" zoomScale="80" zoomScaleNormal="80" workbookViewId="0">
      <selection activeCell="AMM1" sqref="AMM1:XFD1048576"/>
    </sheetView>
  </sheetViews>
  <sheetFormatPr defaultColWidth="0" defaultRowHeight="15" zeroHeight="1"/>
  <cols>
    <col min="1" max="1" width="3.7109375" customWidth="1"/>
    <col min="2" max="2" width="32.85546875" customWidth="1"/>
    <col min="3" max="3" width="10.42578125" style="20" customWidth="1"/>
    <col min="4" max="4" width="11.28515625" customWidth="1"/>
    <col min="5" max="5" width="13.140625" customWidth="1"/>
    <col min="6" max="6" width="11.5703125" customWidth="1"/>
    <col min="7" max="8" width="11.42578125" customWidth="1"/>
    <col min="9" max="256" width="11.42578125" hidden="1" customWidth="1"/>
    <col min="257" max="257" width="32.85546875" hidden="1" customWidth="1"/>
    <col min="258" max="258" width="10.42578125" hidden="1" customWidth="1"/>
    <col min="259" max="259" width="11.28515625" hidden="1" customWidth="1"/>
    <col min="260" max="260" width="13.140625" hidden="1" customWidth="1"/>
    <col min="261" max="261" width="11.5703125" hidden="1" customWidth="1"/>
    <col min="262" max="512" width="11.42578125" hidden="1" customWidth="1"/>
    <col min="513" max="513" width="32.85546875" hidden="1" customWidth="1"/>
    <col min="514" max="514" width="10.42578125" hidden="1" customWidth="1"/>
    <col min="515" max="515" width="11.28515625" hidden="1" customWidth="1"/>
    <col min="516" max="516" width="13.140625" hidden="1" customWidth="1"/>
    <col min="517" max="517" width="11.5703125" hidden="1" customWidth="1"/>
    <col min="518" max="768" width="11.42578125" hidden="1" customWidth="1"/>
    <col min="769" max="769" width="32.85546875" hidden="1" customWidth="1"/>
    <col min="770" max="770" width="10.42578125" hidden="1" customWidth="1"/>
    <col min="771" max="771" width="11.28515625" hidden="1" customWidth="1"/>
    <col min="772" max="772" width="13.140625" hidden="1" customWidth="1"/>
    <col min="773" max="773" width="11.5703125" hidden="1" customWidth="1"/>
    <col min="774" max="1025" width="11.42578125" hidden="1" customWidth="1"/>
    <col min="1026" max="1026" width="9.140625" customWidth="1"/>
    <col min="1027" max="16384" width="9.140625" hidden="1"/>
  </cols>
  <sheetData>
    <row r="1" spans="2:7"/>
    <row r="2" spans="2:7"/>
    <row r="3" spans="2:7"/>
    <row r="4" spans="2:7"/>
    <row r="5" spans="2:7" ht="18.75">
      <c r="B5" s="12" t="s">
        <v>0</v>
      </c>
      <c r="C5" s="12"/>
      <c r="D5" s="12"/>
      <c r="E5" s="12"/>
      <c r="F5" s="12"/>
      <c r="G5" s="12"/>
    </row>
    <row r="6" spans="2:7" ht="18.75">
      <c r="B6" s="12" t="s">
        <v>138</v>
      </c>
      <c r="C6" s="12"/>
      <c r="D6" s="12"/>
      <c r="E6" s="12"/>
      <c r="F6" s="12"/>
      <c r="G6" s="12"/>
    </row>
    <row r="7" spans="2:7">
      <c r="B7" s="24"/>
      <c r="C7" s="24"/>
      <c r="D7" s="24"/>
      <c r="E7" s="25"/>
      <c r="F7" s="25"/>
      <c r="G7" s="25"/>
    </row>
    <row r="8" spans="2:7" ht="16.5">
      <c r="B8" s="24"/>
      <c r="C8" s="24"/>
      <c r="D8" s="24"/>
      <c r="E8" s="25"/>
      <c r="F8" s="393" t="s">
        <v>3</v>
      </c>
      <c r="G8" s="393"/>
    </row>
    <row r="9" spans="2:7"/>
    <row r="10" spans="2:7">
      <c r="B10" s="399"/>
      <c r="C10" s="399"/>
      <c r="D10" s="399"/>
      <c r="E10" s="399"/>
      <c r="F10" s="399"/>
    </row>
    <row r="11" spans="2:7" ht="15" customHeight="1">
      <c r="B11" s="386" t="s">
        <v>139</v>
      </c>
      <c r="C11" s="386"/>
      <c r="D11" s="386"/>
      <c r="E11" s="386"/>
      <c r="F11" s="386"/>
    </row>
    <row r="12" spans="2:7" ht="15.75">
      <c r="B12" s="219"/>
      <c r="C12" s="220"/>
      <c r="D12" s="221"/>
      <c r="E12" s="221"/>
      <c r="F12" s="221"/>
    </row>
    <row r="13" spans="2:7" ht="15.75">
      <c r="B13" s="403" t="s">
        <v>140</v>
      </c>
      <c r="C13" s="403"/>
      <c r="D13" s="403"/>
      <c r="E13" s="403"/>
      <c r="F13" s="403"/>
    </row>
    <row r="14" spans="2:7" ht="15.75">
      <c r="B14" s="220"/>
      <c r="C14" s="222"/>
      <c r="D14" s="221"/>
      <c r="E14" s="221"/>
      <c r="F14" s="221"/>
    </row>
    <row r="15" spans="2:7" ht="15.75">
      <c r="B15" s="394" t="s">
        <v>141</v>
      </c>
      <c r="C15" s="394"/>
      <c r="D15" s="394"/>
      <c r="E15" s="394"/>
      <c r="F15" s="394"/>
    </row>
    <row r="16" spans="2:7" ht="15.75">
      <c r="B16" s="394" t="s">
        <v>142</v>
      </c>
      <c r="C16" s="394"/>
      <c r="D16" s="394"/>
      <c r="E16" s="394"/>
      <c r="F16" s="394"/>
    </row>
    <row r="17" spans="2:7" ht="15.75">
      <c r="B17" s="223"/>
      <c r="C17" s="223"/>
      <c r="D17" s="223"/>
      <c r="E17" s="223"/>
      <c r="F17" s="223"/>
    </row>
    <row r="18" spans="2:7" ht="15.75">
      <c r="B18" s="223"/>
      <c r="C18" s="223"/>
      <c r="D18" s="223"/>
      <c r="E18" s="223"/>
      <c r="F18" s="223"/>
    </row>
    <row r="19" spans="2:7" ht="15" customHeight="1">
      <c r="B19" s="391" t="s">
        <v>143</v>
      </c>
      <c r="C19" s="391"/>
      <c r="D19" s="391"/>
      <c r="E19" s="391"/>
      <c r="F19" s="391"/>
      <c r="G19" s="391"/>
    </row>
    <row r="20" spans="2:7">
      <c r="B20" s="224" t="s">
        <v>6</v>
      </c>
      <c r="C20" s="146" t="s">
        <v>144</v>
      </c>
      <c r="D20" s="146" t="s">
        <v>145</v>
      </c>
      <c r="E20" s="146" t="s">
        <v>146</v>
      </c>
      <c r="F20" s="146" t="s">
        <v>147</v>
      </c>
    </row>
    <row r="21" spans="2:7">
      <c r="B21" s="225" t="s">
        <v>14</v>
      </c>
      <c r="C21" s="226">
        <f>(67/628)*100</f>
        <v>10.668789808917198</v>
      </c>
      <c r="D21" s="227">
        <f>(59/632)*100</f>
        <v>9.3354430379746827</v>
      </c>
      <c r="E21" s="226">
        <f>(68/654)*100</f>
        <v>10.397553516819572</v>
      </c>
      <c r="F21" s="227">
        <f>(74/623)*100</f>
        <v>11.878009630818621</v>
      </c>
    </row>
    <row r="22" spans="2:7">
      <c r="B22" s="228" t="s">
        <v>13</v>
      </c>
      <c r="C22" s="226">
        <f>(15/201)*100</f>
        <v>7.4626865671641784</v>
      </c>
      <c r="D22" s="229">
        <f>(4/213)*100</f>
        <v>1.8779342723004695</v>
      </c>
      <c r="E22" s="226">
        <f>(11/216)*100</f>
        <v>5.0925925925925926</v>
      </c>
      <c r="F22" s="229">
        <f>(8/212)*100</f>
        <v>3.7735849056603774</v>
      </c>
    </row>
    <row r="23" spans="2:7">
      <c r="B23" s="228" t="s">
        <v>15</v>
      </c>
      <c r="C23" s="226">
        <f>(45/1016)*100</f>
        <v>4.4291338582677167</v>
      </c>
      <c r="D23" s="229">
        <f>(59/1032)*100</f>
        <v>5.717054263565891</v>
      </c>
      <c r="E23" s="226">
        <f>(63/1180)*100</f>
        <v>5.3389830508474576</v>
      </c>
      <c r="F23" s="229">
        <f>(64/1250)*100</f>
        <v>5.12</v>
      </c>
    </row>
    <row r="24" spans="2:7">
      <c r="B24" s="228" t="s">
        <v>16</v>
      </c>
      <c r="C24" s="226">
        <f>(49/369)*100</f>
        <v>13.279132791327914</v>
      </c>
      <c r="D24" s="229">
        <f>(32/402)*100</f>
        <v>7.9601990049751246</v>
      </c>
      <c r="E24" s="226">
        <f>(29/393)*100</f>
        <v>7.3791348600508897</v>
      </c>
      <c r="F24" s="229">
        <f>(43/384)*100</f>
        <v>11.197916666666668</v>
      </c>
    </row>
    <row r="25" spans="2:7">
      <c r="B25" s="228" t="s">
        <v>17</v>
      </c>
      <c r="C25" s="226">
        <f>(1/148)*100</f>
        <v>0.67567567567567566</v>
      </c>
      <c r="D25" s="229">
        <f>(1/166)*100</f>
        <v>0.60240963855421692</v>
      </c>
      <c r="E25" s="226">
        <v>0</v>
      </c>
      <c r="F25" s="229">
        <f>(3/124)*100</f>
        <v>2.4193548387096775</v>
      </c>
    </row>
    <row r="26" spans="2:7">
      <c r="B26" s="228" t="s">
        <v>19</v>
      </c>
      <c r="C26" s="226">
        <f>(123/1750)*100</f>
        <v>7.0285714285714285</v>
      </c>
      <c r="D26" s="229">
        <f>(108/1969)*100</f>
        <v>5.4850177755205687</v>
      </c>
      <c r="E26" s="226">
        <f>(105/1967)*100</f>
        <v>5.3380782918149468</v>
      </c>
      <c r="F26" s="229">
        <f>(116/1949)*100</f>
        <v>5.9517701385325807</v>
      </c>
    </row>
    <row r="27" spans="2:7">
      <c r="B27" s="228" t="s">
        <v>20</v>
      </c>
      <c r="C27" s="226">
        <f>(1/108)*100</f>
        <v>0.92592592592592582</v>
      </c>
      <c r="D27" s="229">
        <f>(1/48)*100</f>
        <v>2.083333333333333</v>
      </c>
      <c r="E27" s="226">
        <f>(3/151)*100</f>
        <v>1.9867549668874174</v>
      </c>
      <c r="F27" s="229">
        <f>(2/88)*100</f>
        <v>2.2727272727272729</v>
      </c>
    </row>
    <row r="28" spans="2:7">
      <c r="B28" s="228" t="s">
        <v>21</v>
      </c>
      <c r="C28" s="226">
        <f>(4/116)*100</f>
        <v>3.4482758620689653</v>
      </c>
      <c r="D28" s="229">
        <f>(3/116)*100</f>
        <v>2.5862068965517242</v>
      </c>
      <c r="E28" s="226">
        <f>(3/110)*100</f>
        <v>2.7272727272727271</v>
      </c>
      <c r="F28" s="229">
        <f>(2/82)*100</f>
        <v>2.4390243902439024</v>
      </c>
    </row>
    <row r="29" spans="2:7">
      <c r="B29" s="228" t="s">
        <v>22</v>
      </c>
      <c r="C29" s="226">
        <f>(9/292)*100</f>
        <v>3.0821917808219177</v>
      </c>
      <c r="D29" s="229">
        <f>(7/300)*100</f>
        <v>2.3333333333333335</v>
      </c>
      <c r="E29" s="226">
        <f>(9/313)*100</f>
        <v>2.8753993610223643</v>
      </c>
      <c r="F29" s="229">
        <f>(7/306)*100</f>
        <v>2.2875816993464051</v>
      </c>
    </row>
    <row r="30" spans="2:7">
      <c r="B30" s="228" t="s">
        <v>23</v>
      </c>
      <c r="C30" s="226">
        <v>0</v>
      </c>
      <c r="D30" s="229">
        <v>0</v>
      </c>
      <c r="E30" s="226">
        <v>0</v>
      </c>
      <c r="F30" s="229">
        <f>(0/318)*100</f>
        <v>0</v>
      </c>
    </row>
    <row r="31" spans="2:7">
      <c r="B31" s="228" t="s">
        <v>24</v>
      </c>
      <c r="C31" s="226">
        <f>(17/199)*100</f>
        <v>8.5427135678391952</v>
      </c>
      <c r="D31" s="229">
        <f>(17/218)*100</f>
        <v>7.7981651376146797</v>
      </c>
      <c r="E31" s="226">
        <f>(23/238)*100</f>
        <v>9.6638655462184886</v>
      </c>
      <c r="F31" s="229">
        <f>(23/203)*100</f>
        <v>11.330049261083744</v>
      </c>
    </row>
    <row r="32" spans="2:7">
      <c r="B32" s="228" t="s">
        <v>25</v>
      </c>
      <c r="C32" s="226">
        <f>(26/457)*100</f>
        <v>5.6892778993435451</v>
      </c>
      <c r="D32" s="229">
        <f>(26/471)*100</f>
        <v>5.520169851380043</v>
      </c>
      <c r="E32" s="226">
        <f>(31/484)*100</f>
        <v>6.4049586776859497</v>
      </c>
      <c r="F32" s="229">
        <f>(33/498)*100</f>
        <v>6.6265060240963862</v>
      </c>
    </row>
    <row r="33" spans="2:6">
      <c r="B33" s="228" t="s">
        <v>26</v>
      </c>
      <c r="C33" s="226">
        <f>(4/207)*100</f>
        <v>1.932367149758454</v>
      </c>
      <c r="D33" s="229">
        <f>(2/201)*100</f>
        <v>0.99502487562189057</v>
      </c>
      <c r="E33" s="226">
        <f>(5/202)*100</f>
        <v>2.4752475247524752</v>
      </c>
      <c r="F33" s="229">
        <f>(5/169)*100</f>
        <v>2.9585798816568047</v>
      </c>
    </row>
    <row r="34" spans="2:6">
      <c r="B34" s="228" t="s">
        <v>27</v>
      </c>
      <c r="C34" s="226">
        <f>(26/673)*100</f>
        <v>3.8632986627043091</v>
      </c>
      <c r="D34" s="229">
        <f>(22/665)*100</f>
        <v>3.3082706766917291</v>
      </c>
      <c r="E34" s="226">
        <f>(22/661)*100</f>
        <v>3.3282904689863844</v>
      </c>
      <c r="F34" s="229">
        <f>(46/642)*100</f>
        <v>7.1651090342679122</v>
      </c>
    </row>
    <row r="35" spans="2:6">
      <c r="B35" s="230" t="s">
        <v>28</v>
      </c>
      <c r="C35" s="226">
        <f>(9/453)*100</f>
        <v>1.9867549668874174</v>
      </c>
      <c r="D35" s="231">
        <f>(13/483)*100</f>
        <v>2.691511387163561</v>
      </c>
      <c r="E35" s="226">
        <f>(10/447)*100</f>
        <v>2.2371364653243848</v>
      </c>
      <c r="F35" s="231">
        <f>(6/437)*100</f>
        <v>1.3729977116704806</v>
      </c>
    </row>
    <row r="36" spans="2:6">
      <c r="B36" s="232" t="s">
        <v>29</v>
      </c>
      <c r="C36" s="233">
        <f>SUM(C21:C35)</f>
        <v>73.014795945273832</v>
      </c>
      <c r="D36" s="233">
        <f>SUM(D21:D35)</f>
        <v>58.294073484581254</v>
      </c>
      <c r="E36" s="233">
        <f>SUM(E21:E35)</f>
        <v>65.245268050275655</v>
      </c>
      <c r="F36" s="233">
        <f>SUM(F21:F35)</f>
        <v>76.793211455480829</v>
      </c>
    </row>
    <row r="37" spans="2:6"/>
    <row r="38" spans="2:6" ht="15.75">
      <c r="B38" s="206" t="s">
        <v>148</v>
      </c>
    </row>
    <row r="39" spans="2:6"/>
    <row r="40" spans="2:6"/>
  </sheetData>
  <mergeCells count="9">
    <mergeCell ref="B13:F13"/>
    <mergeCell ref="B15:F15"/>
    <mergeCell ref="B16:F16"/>
    <mergeCell ref="B19:G19"/>
    <mergeCell ref="B5:G5"/>
    <mergeCell ref="B6:G6"/>
    <mergeCell ref="F8:G8"/>
    <mergeCell ref="B10:F10"/>
    <mergeCell ref="B11:F11"/>
  </mergeCells>
  <hyperlinks>
    <hyperlink ref="F8" location="capa!A1" display="Página Inicial" xr:uid="{00000000-0004-0000-08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capa</vt:lpstr>
      <vt:lpstr>Proj em execução e finalizados</vt:lpstr>
      <vt:lpstr>Proj Rede Cooper Finan externo</vt:lpstr>
      <vt:lpstr>projetos cancelados</vt:lpstr>
      <vt:lpstr> Resumo projetos</vt:lpstr>
      <vt:lpstr>recursos projetos individuais</vt:lpstr>
      <vt:lpstr>grupos de pesquisa</vt:lpstr>
      <vt:lpstr>bolsista produtividade</vt:lpstr>
      <vt:lpstr>envolvimento</vt:lpstr>
      <vt:lpstr>interdisciplinaridade</vt:lpstr>
      <vt:lpstr>Bolsas IC</vt:lpstr>
      <vt:lpstr>Sem bolsa</vt:lpstr>
      <vt:lpstr>Resumo 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dc:description/>
  <cp:lastModifiedBy>Home</cp:lastModifiedBy>
  <cp:revision>9</cp:revision>
  <dcterms:created xsi:type="dcterms:W3CDTF">2019-09-10T12:05:02Z</dcterms:created>
  <dcterms:modified xsi:type="dcterms:W3CDTF">2020-02-04T12:05:01Z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